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Actuarial\Public\AC1000R\March20\1-1-21 Filing\Hardcoded Excel Version\"/>
    </mc:Choice>
  </mc:AlternateContent>
  <bookViews>
    <workbookView xWindow="1770" yWindow="-14685" windowWidth="21600" windowHeight="11385" tabRatio="834"/>
  </bookViews>
  <sheets>
    <sheet name="Exhibit 1" sheetId="1" r:id="rId1"/>
    <sheet name="Exhibit 2.1.1" sheetId="2" r:id="rId2"/>
    <sheet name="Exhibit 2.1.2" sheetId="19" r:id="rId3"/>
    <sheet name="Exhibit 2.2.1" sheetId="10" r:id="rId4"/>
    <sheet name="Exhibit 2.2.2" sheetId="20" r:id="rId5"/>
    <sheet name="Exhibit 2.3.1" sheetId="11" r:id="rId6"/>
    <sheet name="Exhibit 2.3.2" sheetId="21" r:id="rId7"/>
    <sheet name="Exhibit 2.4.1" sheetId="12" r:id="rId8"/>
    <sheet name="Exhibit 2.4.2" sheetId="15" r:id="rId9"/>
    <sheet name="Exhibit 2.5.1" sheetId="13" r:id="rId10"/>
    <sheet name="Exhibit 2.5.2" sheetId="14" r:id="rId11"/>
    <sheet name="Exhibits 2.5.3 - 2.5.8" sheetId="31" r:id="rId12"/>
    <sheet name="Exhibits 2.5.9 - 2.5.12" sheetId="42" r:id="rId13"/>
    <sheet name="Exhibit 2.6.1" sheetId="16" r:id="rId14"/>
    <sheet name="Exhibit 2.6.2" sheetId="17" r:id="rId15"/>
    <sheet name="Exhibits 2.6.3 - 2.6.8" sheetId="32" r:id="rId16"/>
    <sheet name="Exhibit 3.1" sheetId="3" r:id="rId17"/>
    <sheet name="Exhibit 3.2" sheetId="18" r:id="rId18"/>
    <sheet name="Exhibit 4.1" sheetId="4" r:id="rId19"/>
    <sheet name="Exhibit 4.2" sheetId="22" r:id="rId20"/>
    <sheet name="Exhibit 4.3" sheetId="23" r:id="rId21"/>
    <sheet name="Exhibit 4.4" sheetId="24" r:id="rId22"/>
    <sheet name="Exhibit 5.1" sheetId="5" r:id="rId23"/>
    <sheet name="Exhibit 5.2" sheetId="25" r:id="rId24"/>
    <sheet name="Exhibit 6.1" sheetId="6" r:id="rId25"/>
    <sheet name="Exhibit 6.2" sheetId="26" r:id="rId26"/>
    <sheet name="Exhibit 6.3" sheetId="27" r:id="rId27"/>
    <sheet name="Exhibit 6.4" sheetId="28" r:id="rId28"/>
    <sheet name="Exhibit 7.1" sheetId="7" r:id="rId29"/>
    <sheet name="Exhibit 7.3" sheetId="29" r:id="rId30"/>
    <sheet name="Exhibit 8" sheetId="8" r:id="rId31"/>
  </sheets>
  <externalReferences>
    <externalReference r:id="rId32"/>
    <externalReference r:id="rId33"/>
    <externalReference r:id="rId34"/>
  </externalReferences>
  <definedNames>
    <definedName name="APY">#REF!</definedName>
    <definedName name="AY">#REF!</definedName>
    <definedName name="EPYear">'[1]Market Share'!$E$1</definedName>
    <definedName name="EX2_3Hybrid">[2]Exh2_3_Selected!$AJ$6:$AP$37</definedName>
    <definedName name="FreqExh">#REF!</definedName>
    <definedName name="IndemTail">[2]Exh2_1!$I$43</definedName>
    <definedName name="IndTrend">[2]Exh_7.1_Paid_BS_Latest_Yr!$H$71</definedName>
    <definedName name="MedCPI_Change">'[2]Exh4.2 Agenda'!$BM$2:$CP$65</definedName>
    <definedName name="MedicalSeverityTrend">'[3]Exhibit 6.3'!$L$38</definedName>
    <definedName name="MedTail">[2]Exh2_2!$I$42</definedName>
    <definedName name="MedTrend">[2]Exh_7.3_Paid_BS__Latest_Yr!$H$71</definedName>
    <definedName name="midTailAge">#REF!</definedName>
    <definedName name="PPY">#REF!</definedName>
    <definedName name="_xlnm.Print_Area" localSheetId="0">'Exhibit 1'!$A$1:$I$43</definedName>
    <definedName name="_xlnm.Print_Area" localSheetId="6">'Exhibit 2.3.2'!$A$1:$T$31</definedName>
    <definedName name="_xlnm.Print_Area" localSheetId="7">'Exhibit 2.4.1'!$A$1:$Q$64</definedName>
    <definedName name="_xlnm.Print_Area" localSheetId="9">'Exhibit 2.5.1'!$A$1:$V$37</definedName>
    <definedName name="_xlnm.Print_Area" localSheetId="10">'Exhibit 2.5.2'!$A$1:$O$29</definedName>
    <definedName name="_xlnm.Print_Area" localSheetId="13">'Exhibit 2.6.1'!$A$1:$V$44</definedName>
    <definedName name="_xlnm.Print_Area" localSheetId="16">'Exhibit 3.1'!$A$1:$G$45</definedName>
    <definedName name="_xlnm.Print_Area" localSheetId="17">'Exhibit 3.2'!$A$1:$H$49</definedName>
    <definedName name="_xlnm.Print_Area" localSheetId="18">'Exhibit 4.1'!$A$1:$M$50</definedName>
    <definedName name="_xlnm.Print_Area" localSheetId="19">'Exhibit 4.2'!$A$1:$L$49</definedName>
    <definedName name="_xlnm.Print_Area" localSheetId="20">'Exhibit 4.3'!$A$1:$H$47</definedName>
    <definedName name="_xlnm.Print_Area" localSheetId="21">'Exhibit 4.4'!$A$1:$I$49</definedName>
    <definedName name="_xlnm.Print_Area" localSheetId="22">'Exhibit 5.1'!$A$1:$E$46</definedName>
    <definedName name="_xlnm.Print_Area" localSheetId="23">'Exhibit 5.2'!$A$1:$S$59</definedName>
    <definedName name="_xlnm.Print_Area" localSheetId="24">'Exhibit 6.1'!$A$1:$I$75</definedName>
    <definedName name="_xlnm.Print_Area" localSheetId="27">'Exhibit 6.4'!$A$1:$Q$41</definedName>
    <definedName name="_xlnm.Print_Area" localSheetId="28">'Exhibit 7.1'!$A$1:$J$52</definedName>
    <definedName name="_xlnm.Print_Area" localSheetId="29">'Exhibit 7.3'!$A$1:$I$53</definedName>
    <definedName name="_xlnm.Print_Area" localSheetId="30">'Exhibit 8'!$A$1:$O$26</definedName>
    <definedName name="_xlnm.Print_Area" localSheetId="11">'Exhibits 2.5.3 - 2.5.8'!$A$1:$K$325</definedName>
    <definedName name="_xlnm.Print_Area" localSheetId="12">'Exhibits 2.5.9 - 2.5.12'!$A$1:$M$225</definedName>
    <definedName name="_xlnm.Print_Area" localSheetId="15">'Exhibits 2.6.3 - 2.6.8'!$A$1:$K$330</definedName>
    <definedName name="QDate">#REF!</definedName>
    <definedName name="tailAge">#REF!</definedName>
    <definedName name="TypeOfInjury">#REF!</definedName>
    <definedName name="Voucher_VR">#REF!</definedName>
    <definedName name="VQ">#REF!</definedName>
    <definedName name="V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1" i="8" l="1"/>
  <c r="S27" i="20" l="1"/>
  <c r="R27" i="20"/>
  <c r="Q27" i="20"/>
  <c r="P27" i="20"/>
  <c r="O27" i="20"/>
  <c r="N27" i="20"/>
  <c r="M27" i="20"/>
  <c r="L27" i="20"/>
  <c r="K27" i="20"/>
  <c r="J27" i="20"/>
  <c r="I27" i="20"/>
  <c r="H27" i="20"/>
  <c r="G27" i="20"/>
  <c r="F27" i="20"/>
  <c r="E27" i="20"/>
  <c r="D27" i="20"/>
  <c r="C27" i="20"/>
  <c r="B27" i="20"/>
  <c r="Q31" i="10"/>
  <c r="P31" i="10"/>
  <c r="O31" i="10"/>
  <c r="N31" i="10"/>
  <c r="M31" i="10"/>
  <c r="L31" i="10"/>
  <c r="K31" i="10"/>
  <c r="J31" i="10"/>
  <c r="I31" i="10"/>
  <c r="H31" i="10"/>
  <c r="G31" i="10"/>
  <c r="F31" i="10"/>
  <c r="E31" i="10"/>
  <c r="D31" i="10"/>
  <c r="C31" i="10"/>
  <c r="B31" i="10"/>
  <c r="S27" i="19"/>
  <c r="R27" i="19"/>
  <c r="Q27" i="19"/>
  <c r="P27" i="19"/>
  <c r="O27" i="19"/>
  <c r="N27" i="19"/>
  <c r="M27" i="19"/>
  <c r="L27" i="19"/>
  <c r="K27" i="19"/>
  <c r="J27" i="19"/>
  <c r="I27" i="19"/>
  <c r="H27" i="19"/>
  <c r="G27" i="19"/>
  <c r="F27" i="19"/>
  <c r="E27" i="19"/>
  <c r="D27" i="19"/>
  <c r="C27" i="19"/>
  <c r="B27" i="19"/>
  <c r="Q31" i="2"/>
  <c r="P31" i="2"/>
  <c r="O31" i="2"/>
  <c r="N31" i="2"/>
  <c r="M31" i="2"/>
  <c r="L31" i="2"/>
  <c r="K31" i="2"/>
  <c r="J31" i="2"/>
  <c r="I31" i="2"/>
  <c r="H31" i="2"/>
  <c r="G31" i="2"/>
  <c r="F31" i="2"/>
  <c r="E31" i="2"/>
  <c r="D31" i="2"/>
  <c r="C31" i="2"/>
  <c r="B31" i="2"/>
  <c r="S28" i="20" l="1"/>
  <c r="R28" i="20" s="1"/>
  <c r="Q28" i="20" s="1"/>
  <c r="P28" i="20" s="1"/>
  <c r="O28" i="20" s="1"/>
  <c r="N28" i="20" s="1"/>
  <c r="M28" i="20" s="1"/>
  <c r="L28" i="20" s="1"/>
  <c r="K28" i="20" s="1"/>
  <c r="J28" i="20" s="1"/>
  <c r="I28" i="20" s="1"/>
  <c r="H28" i="20" s="1"/>
  <c r="G28" i="20" s="1"/>
  <c r="F28" i="20" s="1"/>
  <c r="E28" i="20" s="1"/>
  <c r="D28" i="20" s="1"/>
  <c r="C28" i="20" s="1"/>
  <c r="B28" i="20" s="1"/>
  <c r="Q32" i="10" s="1"/>
  <c r="P32" i="10" s="1"/>
  <c r="O32" i="10" s="1"/>
  <c r="N32" i="10" s="1"/>
  <c r="M32" i="10" s="1"/>
  <c r="L32" i="10" s="1"/>
  <c r="K32" i="10" s="1"/>
  <c r="J32" i="10" s="1"/>
  <c r="I32" i="10" s="1"/>
  <c r="H32" i="10" s="1"/>
  <c r="G32" i="10" s="1"/>
  <c r="F32" i="10" s="1"/>
  <c r="E32" i="10" s="1"/>
  <c r="D32" i="10" s="1"/>
  <c r="C32" i="10" s="1"/>
  <c r="B32" i="10" s="1"/>
  <c r="S28" i="19"/>
  <c r="R28" i="19" s="1"/>
  <c r="Q28" i="19" s="1"/>
  <c r="P28" i="19" s="1"/>
  <c r="O28" i="19" s="1"/>
  <c r="N28" i="19" s="1"/>
  <c r="M28" i="19" s="1"/>
  <c r="L28" i="19" s="1"/>
  <c r="K28" i="19" s="1"/>
  <c r="J28" i="19" s="1"/>
  <c r="I28" i="19" s="1"/>
  <c r="H28" i="19" s="1"/>
  <c r="G28" i="19" s="1"/>
  <c r="F28" i="19" s="1"/>
  <c r="E28" i="19" s="1"/>
  <c r="D28" i="19" s="1"/>
  <c r="C28" i="19" s="1"/>
  <c r="B28" i="19" s="1"/>
  <c r="Q32" i="2" s="1"/>
  <c r="P32" i="2" s="1"/>
  <c r="O32" i="2" s="1"/>
  <c r="N32" i="2" s="1"/>
  <c r="M32" i="2" s="1"/>
  <c r="L32" i="2" s="1"/>
  <c r="K32" i="2" s="1"/>
  <c r="J32" i="2" s="1"/>
  <c r="I32" i="2" s="1"/>
  <c r="H32" i="2" s="1"/>
  <c r="G32" i="2" s="1"/>
  <c r="F32" i="2" s="1"/>
  <c r="E32" i="2" s="1"/>
  <c r="D32" i="2" s="1"/>
  <c r="C32" i="2" s="1"/>
  <c r="B32" i="2" s="1"/>
  <c r="V32" i="16"/>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42" i="3"/>
  <c r="N23" i="17"/>
  <c r="M23" i="17"/>
  <c r="L23" i="17"/>
  <c r="K23" i="17"/>
  <c r="J23" i="17"/>
  <c r="I23" i="17"/>
  <c r="H23" i="17"/>
  <c r="G23" i="17"/>
  <c r="F23" i="17"/>
  <c r="E23" i="17"/>
  <c r="D23" i="17"/>
  <c r="C23" i="17"/>
  <c r="B23" i="17"/>
  <c r="N25" i="17"/>
  <c r="M25" i="17" s="1"/>
  <c r="L25" i="17" s="1"/>
  <c r="K25" i="17" s="1"/>
  <c r="J25" i="17" s="1"/>
  <c r="I25" i="17" s="1"/>
  <c r="H25" i="17" s="1"/>
  <c r="G25" i="17" s="1"/>
  <c r="F25" i="17" s="1"/>
  <c r="E25" i="17" s="1"/>
  <c r="D25" i="17" s="1"/>
  <c r="C25" i="17" s="1"/>
  <c r="L138" i="42"/>
  <c r="B25" i="17" l="1"/>
  <c r="B21" i="42" l="1"/>
  <c r="B31" i="11" l="1"/>
  <c r="C31" i="11"/>
  <c r="D31" i="11"/>
  <c r="E31" i="11"/>
  <c r="F31" i="11"/>
  <c r="G31" i="11"/>
  <c r="H31" i="11"/>
  <c r="I31" i="11"/>
  <c r="J31" i="11"/>
  <c r="K31" i="11"/>
  <c r="L31" i="11"/>
  <c r="M31" i="11"/>
  <c r="N31" i="11"/>
  <c r="O31" i="11"/>
  <c r="P31" i="11"/>
  <c r="Q31" i="11"/>
  <c r="B27" i="21"/>
  <c r="S27" i="21"/>
  <c r="R27" i="21"/>
  <c r="Q27" i="21"/>
  <c r="P27" i="21"/>
  <c r="L186" i="42" s="1"/>
  <c r="O27" i="21"/>
  <c r="K186" i="42" s="1"/>
  <c r="N27" i="21"/>
  <c r="J186" i="42" s="1"/>
  <c r="M27" i="21"/>
  <c r="I186" i="42" s="1"/>
  <c r="L27" i="21"/>
  <c r="H186" i="42" s="1"/>
  <c r="K27" i="21"/>
  <c r="G186" i="42" s="1"/>
  <c r="J27" i="21"/>
  <c r="F186" i="42" s="1"/>
  <c r="I27" i="21"/>
  <c r="E186" i="42" s="1"/>
  <c r="H27" i="21"/>
  <c r="D186" i="42" s="1"/>
  <c r="G27" i="21"/>
  <c r="F27" i="21"/>
  <c r="E27" i="21"/>
  <c r="D27" i="21"/>
  <c r="C27" i="21"/>
  <c r="B52" i="12"/>
  <c r="C52" i="12"/>
  <c r="D52" i="12"/>
  <c r="E52" i="12"/>
  <c r="F52" i="12"/>
  <c r="G52" i="12"/>
  <c r="H52" i="12"/>
  <c r="I52" i="12"/>
  <c r="J52" i="12"/>
  <c r="K52" i="12"/>
  <c r="L52" i="12"/>
  <c r="M52" i="12"/>
  <c r="N52" i="12"/>
  <c r="O52" i="12"/>
  <c r="P52" i="12"/>
  <c r="Q52" i="12"/>
  <c r="S49" i="15"/>
  <c r="R49" i="15"/>
  <c r="Q49" i="15"/>
  <c r="P49" i="15"/>
  <c r="L187" i="42" s="1"/>
  <c r="O49" i="15"/>
  <c r="K187" i="42" s="1"/>
  <c r="N49" i="15"/>
  <c r="J187" i="42" s="1"/>
  <c r="M49" i="15"/>
  <c r="I187" i="42" s="1"/>
  <c r="L49" i="15"/>
  <c r="H187" i="42" s="1"/>
  <c r="K49" i="15"/>
  <c r="G187" i="42" s="1"/>
  <c r="J49" i="15"/>
  <c r="F187" i="42" s="1"/>
  <c r="I49" i="15"/>
  <c r="E187" i="42" s="1"/>
  <c r="H49" i="15"/>
  <c r="D187" i="42" s="1"/>
  <c r="G49" i="15"/>
  <c r="C187" i="42" s="1"/>
  <c r="F49" i="15"/>
  <c r="E49" i="15"/>
  <c r="D49" i="15"/>
  <c r="C49" i="15"/>
  <c r="B49" i="15"/>
  <c r="V32" i="13"/>
  <c r="U32" i="13"/>
  <c r="T32" i="13"/>
  <c r="S32" i="13"/>
  <c r="R32" i="13"/>
  <c r="Q32" i="13"/>
  <c r="P32" i="13"/>
  <c r="O32" i="13"/>
  <c r="N32" i="13"/>
  <c r="M32" i="13"/>
  <c r="L32" i="13"/>
  <c r="K32" i="13"/>
  <c r="J32" i="13"/>
  <c r="G32" i="13"/>
  <c r="H32" i="13"/>
  <c r="N23" i="14"/>
  <c r="M23" i="14"/>
  <c r="L23" i="14"/>
  <c r="K23" i="14"/>
  <c r="J23" i="14"/>
  <c r="I23" i="14"/>
  <c r="H23" i="14"/>
  <c r="G23" i="14"/>
  <c r="F23" i="14"/>
  <c r="E23" i="14"/>
  <c r="D23" i="14"/>
  <c r="C23" i="14"/>
  <c r="B23" i="14"/>
  <c r="I32" i="13"/>
  <c r="C74" i="12"/>
  <c r="C73" i="12"/>
  <c r="C72" i="12"/>
  <c r="C71" i="12"/>
  <c r="C70" i="12"/>
  <c r="A70" i="12"/>
  <c r="A71" i="12" s="1"/>
  <c r="A72" i="12" s="1"/>
  <c r="A73" i="12" s="1"/>
  <c r="A74" i="12" s="1"/>
  <c r="C69" i="12"/>
  <c r="C57" i="16"/>
  <c r="C56" i="16"/>
  <c r="C55" i="16"/>
  <c r="C54" i="16"/>
  <c r="C53" i="16"/>
  <c r="C52" i="16"/>
  <c r="A53" i="16"/>
  <c r="A54" i="16" s="1"/>
  <c r="A55" i="16" s="1"/>
  <c r="A56" i="16" s="1"/>
  <c r="A57" i="16" s="1"/>
  <c r="C186" i="42" l="1"/>
  <c r="J19" i="28"/>
  <c r="J20" i="28"/>
  <c r="J21" i="28"/>
  <c r="J22" i="28"/>
  <c r="J23" i="28"/>
  <c r="J24" i="28"/>
  <c r="J25" i="28"/>
  <c r="J26" i="28"/>
  <c r="J27" i="28"/>
  <c r="B17" i="28"/>
  <c r="B16" i="28"/>
  <c r="B15" i="28"/>
  <c r="B14" i="28"/>
  <c r="B13" i="28"/>
  <c r="B18" i="28"/>
  <c r="A8" i="22"/>
  <c r="J44" i="4" l="1"/>
  <c r="L43" i="4" s="1"/>
  <c r="L42" i="4" s="1"/>
  <c r="L41" i="4" s="1"/>
  <c r="L40" i="4" s="1"/>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H324" i="32"/>
  <c r="G324" i="32"/>
  <c r="F324" i="32"/>
  <c r="E324" i="32"/>
  <c r="D324" i="32"/>
  <c r="H323" i="32"/>
  <c r="G323" i="32"/>
  <c r="F323" i="32"/>
  <c r="E323" i="32"/>
  <c r="D323" i="32"/>
  <c r="H302" i="32"/>
  <c r="H301" i="32"/>
  <c r="H265" i="32"/>
  <c r="H264" i="32"/>
  <c r="G265" i="32"/>
  <c r="G302" i="32" s="1"/>
  <c r="I140" i="32"/>
  <c r="I139" i="32"/>
  <c r="I138" i="32"/>
  <c r="I126" i="32"/>
  <c r="H127" i="32"/>
  <c r="H125" i="32"/>
  <c r="H140" i="32" s="1"/>
  <c r="H124" i="32"/>
  <c r="H139" i="32" s="1"/>
  <c r="G128" i="32"/>
  <c r="G125" i="32"/>
  <c r="G140" i="32" s="1"/>
  <c r="F129" i="32"/>
  <c r="E130" i="32"/>
  <c r="D131" i="32"/>
  <c r="D34" i="32"/>
  <c r="H28" i="32"/>
  <c r="H34" i="32" s="1"/>
  <c r="H35" i="32" s="1"/>
  <c r="H39" i="32" s="1"/>
  <c r="H27" i="32"/>
  <c r="H26" i="32"/>
  <c r="G29" i="32"/>
  <c r="G34" i="32" s="1"/>
  <c r="G28" i="32"/>
  <c r="G27" i="32"/>
  <c r="F30" i="32"/>
  <c r="F34" i="32" s="1"/>
  <c r="F29" i="32"/>
  <c r="F28" i="32"/>
  <c r="E31" i="32"/>
  <c r="E34" i="32" s="1"/>
  <c r="E30" i="32"/>
  <c r="E29" i="32"/>
  <c r="D32" i="32"/>
  <c r="D31" i="32"/>
  <c r="D30" i="32"/>
  <c r="V29" i="16"/>
  <c r="U29" i="16"/>
  <c r="T29" i="16"/>
  <c r="S29" i="16"/>
  <c r="R29" i="16"/>
  <c r="Q29" i="16"/>
  <c r="P29" i="16"/>
  <c r="O29" i="16"/>
  <c r="N29" i="16"/>
  <c r="M29" i="16"/>
  <c r="L29" i="16"/>
  <c r="K29" i="16"/>
  <c r="J29" i="16"/>
  <c r="I29" i="16"/>
  <c r="H29" i="16"/>
  <c r="G29" i="16"/>
  <c r="H317" i="31"/>
  <c r="G317" i="31"/>
  <c r="F317" i="31"/>
  <c r="E317" i="31"/>
  <c r="D317" i="31"/>
  <c r="H316" i="31"/>
  <c r="G316" i="31"/>
  <c r="F316" i="31"/>
  <c r="E316" i="31"/>
  <c r="D316" i="31"/>
  <c r="I214" i="31"/>
  <c r="I213" i="31"/>
  <c r="I212" i="31"/>
  <c r="I211" i="31"/>
  <c r="H215" i="31"/>
  <c r="H214" i="31"/>
  <c r="H213" i="31"/>
  <c r="H212" i="31"/>
  <c r="G216" i="31"/>
  <c r="G215" i="31"/>
  <c r="G214" i="31"/>
  <c r="G213" i="31"/>
  <c r="F217" i="31"/>
  <c r="F216" i="31"/>
  <c r="F215" i="31"/>
  <c r="F214" i="31"/>
  <c r="E218" i="31"/>
  <c r="E217" i="31"/>
  <c r="E216" i="31"/>
  <c r="E215" i="31"/>
  <c r="L39" i="4" l="1"/>
  <c r="L38" i="4" s="1"/>
  <c r="L37" i="4" s="1"/>
  <c r="L36" i="4" s="1"/>
  <c r="L35" i="4" s="1"/>
  <c r="L34" i="4" s="1"/>
  <c r="L33" i="4" s="1"/>
  <c r="L32" i="4" s="1"/>
  <c r="L31" i="4" s="1"/>
  <c r="L30" i="4" s="1"/>
  <c r="L29" i="4" s="1"/>
  <c r="L28" i="4" s="1"/>
  <c r="L27" i="4" s="1"/>
  <c r="L25" i="4" s="1"/>
  <c r="G35" i="32"/>
  <c r="G39" i="32" s="1"/>
  <c r="F35" i="32" l="1"/>
  <c r="L24" i="4"/>
  <c r="L26" i="4"/>
  <c r="L23" i="4"/>
  <c r="L22" i="4" s="1"/>
  <c r="L21" i="4" s="1"/>
  <c r="L20" i="4" s="1"/>
  <c r="L19" i="4" s="1"/>
  <c r="L18" i="4" s="1"/>
  <c r="L17" i="4" s="1"/>
  <c r="L16" i="4" s="1"/>
  <c r="L15" i="4" s="1"/>
  <c r="L14" i="4" s="1"/>
  <c r="L13" i="4" s="1"/>
  <c r="L12" i="4" s="1"/>
  <c r="L11" i="4" s="1"/>
  <c r="L10" i="4" s="1"/>
  <c r="L9" i="4" s="1"/>
  <c r="D219" i="31"/>
  <c r="D218" i="31"/>
  <c r="D217" i="31"/>
  <c r="D216" i="31"/>
  <c r="I142" i="31"/>
  <c r="I239" i="31" s="1"/>
  <c r="I141" i="31"/>
  <c r="I238" i="31" s="1"/>
  <c r="I140" i="31"/>
  <c r="I237" i="31" s="1"/>
  <c r="D133" i="31"/>
  <c r="E132" i="31"/>
  <c r="F131" i="31"/>
  <c r="G130" i="31"/>
  <c r="G127" i="31"/>
  <c r="G142" i="31" s="1"/>
  <c r="G239" i="31" s="1"/>
  <c r="H129" i="31"/>
  <c r="H127" i="31"/>
  <c r="H142" i="31" s="1"/>
  <c r="H239" i="31" s="1"/>
  <c r="H126" i="31"/>
  <c r="H141" i="31" s="1"/>
  <c r="H238" i="31" s="1"/>
  <c r="I128" i="31"/>
  <c r="I143" i="31" s="1"/>
  <c r="I240" i="31" s="1"/>
  <c r="I87" i="31"/>
  <c r="I72" i="31"/>
  <c r="H72" i="31"/>
  <c r="G72" i="31"/>
  <c r="F72" i="31"/>
  <c r="D33" i="31"/>
  <c r="D35" i="31" s="1"/>
  <c r="E32" i="31"/>
  <c r="E35" i="31" s="1"/>
  <c r="D32" i="31"/>
  <c r="F31" i="31"/>
  <c r="F35" i="31" s="1"/>
  <c r="E31" i="31"/>
  <c r="D31" i="31"/>
  <c r="G30" i="31"/>
  <c r="G35" i="31" s="1"/>
  <c r="F30" i="31"/>
  <c r="E30" i="31"/>
  <c r="H29" i="31"/>
  <c r="H35" i="31" s="1"/>
  <c r="H36" i="31" s="1"/>
  <c r="H40" i="31" s="1"/>
  <c r="G29" i="31"/>
  <c r="F29" i="31"/>
  <c r="H28" i="31"/>
  <c r="G28" i="31"/>
  <c r="H27" i="31"/>
  <c r="H73" i="31" l="1"/>
  <c r="F73" i="31"/>
  <c r="G73" i="31"/>
  <c r="E73" i="31"/>
  <c r="G254" i="31"/>
  <c r="H253" i="31"/>
  <c r="H254" i="31"/>
  <c r="H295" i="31" s="1"/>
  <c r="F39" i="32"/>
  <c r="E35" i="32"/>
  <c r="G36" i="31"/>
  <c r="G295" i="31" l="1"/>
  <c r="H87" i="31"/>
  <c r="H128" i="31" s="1"/>
  <c r="H143" i="31" s="1"/>
  <c r="H240" i="31" s="1"/>
  <c r="H88" i="31"/>
  <c r="H144" i="31" s="1"/>
  <c r="H241" i="31" s="1"/>
  <c r="H294" i="31"/>
  <c r="F36" i="31"/>
  <c r="G40" i="31"/>
  <c r="D35" i="32"/>
  <c r="D39" i="32" s="1"/>
  <c r="E39" i="32"/>
  <c r="B154" i="42"/>
  <c r="B132" i="42"/>
  <c r="B75" i="42"/>
  <c r="C24" i="42"/>
  <c r="B42" i="42"/>
  <c r="C42" i="42" s="1"/>
  <c r="E74" i="31" l="1"/>
  <c r="G74" i="31"/>
  <c r="D74" i="31"/>
  <c r="F74" i="31"/>
  <c r="E36" i="31"/>
  <c r="F40" i="31"/>
  <c r="H255" i="31"/>
  <c r="A75" i="6"/>
  <c r="F75" i="31" l="1"/>
  <c r="D75" i="31"/>
  <c r="E75" i="31"/>
  <c r="D36" i="31"/>
  <c r="D40" i="31" s="1"/>
  <c r="D77" i="31" s="1"/>
  <c r="E40" i="31"/>
  <c r="G88" i="31"/>
  <c r="G129" i="31" s="1"/>
  <c r="G144" i="31" s="1"/>
  <c r="G241" i="31" s="1"/>
  <c r="G87" i="31"/>
  <c r="G128" i="31" s="1"/>
  <c r="G143" i="31" s="1"/>
  <c r="G240" i="31" s="1"/>
  <c r="G89" i="31"/>
  <c r="G145" i="31" s="1"/>
  <c r="G242" i="31" s="1"/>
  <c r="H296" i="31"/>
  <c r="H261" i="31"/>
  <c r="H262" i="31"/>
  <c r="A173" i="42"/>
  <c r="A172" i="42"/>
  <c r="A171" i="42"/>
  <c r="G255" i="31" l="1"/>
  <c r="G256" i="31"/>
  <c r="E76" i="31"/>
  <c r="D76" i="31"/>
  <c r="D89" i="31"/>
  <c r="D130" i="31" s="1"/>
  <c r="D145" i="31" s="1"/>
  <c r="D242" i="31" s="1"/>
  <c r="D92" i="31"/>
  <c r="D148" i="31" s="1"/>
  <c r="D245" i="31" s="1"/>
  <c r="D91" i="31"/>
  <c r="D132" i="31" s="1"/>
  <c r="D147" i="31" s="1"/>
  <c r="D244" i="31" s="1"/>
  <c r="D90" i="31"/>
  <c r="D131" i="31" s="1"/>
  <c r="D146" i="31" s="1"/>
  <c r="D243" i="31" s="1"/>
  <c r="F90" i="31"/>
  <c r="F146" i="31" s="1"/>
  <c r="F243" i="31" s="1"/>
  <c r="F89" i="31"/>
  <c r="F130" i="31" s="1"/>
  <c r="F145" i="31" s="1"/>
  <c r="F242" i="31" s="1"/>
  <c r="F88" i="31"/>
  <c r="F129" i="31" s="1"/>
  <c r="F144" i="31" s="1"/>
  <c r="F241" i="31" s="1"/>
  <c r="F87" i="31"/>
  <c r="F128" i="31" s="1"/>
  <c r="F143" i="31" s="1"/>
  <c r="F240" i="31" s="1"/>
  <c r="F255" i="31" s="1"/>
  <c r="B155" i="42"/>
  <c r="F296" i="31" l="1"/>
  <c r="E89" i="31"/>
  <c r="E130" i="31" s="1"/>
  <c r="E145" i="31" s="1"/>
  <c r="E242" i="31" s="1"/>
  <c r="D257" i="31" s="1"/>
  <c r="E91" i="31"/>
  <c r="E147" i="31" s="1"/>
  <c r="E244" i="31" s="1"/>
  <c r="D259" i="31" s="1"/>
  <c r="E90" i="31"/>
  <c r="E131" i="31" s="1"/>
  <c r="E146" i="31" s="1"/>
  <c r="E243" i="31" s="1"/>
  <c r="D258" i="31" s="1"/>
  <c r="D299" i="31" s="1"/>
  <c r="E88" i="31"/>
  <c r="E129" i="31" s="1"/>
  <c r="E144" i="31" s="1"/>
  <c r="E241" i="31" s="1"/>
  <c r="E256" i="31" s="1"/>
  <c r="G297" i="31"/>
  <c r="G261" i="31"/>
  <c r="F256" i="31"/>
  <c r="F297" i="31" s="1"/>
  <c r="G296" i="31"/>
  <c r="G262" i="31"/>
  <c r="F257" i="31"/>
  <c r="F262" i="31" s="1"/>
  <c r="A115" i="42"/>
  <c r="A114" i="42"/>
  <c r="A113" i="42"/>
  <c r="B133" i="42"/>
  <c r="B131" i="42"/>
  <c r="B96" i="42"/>
  <c r="B76" i="42"/>
  <c r="A58" i="42"/>
  <c r="A57" i="42"/>
  <c r="A56" i="42"/>
  <c r="E297" i="31" l="1"/>
  <c r="E257" i="31"/>
  <c r="E298" i="31" s="1"/>
  <c r="D261" i="31"/>
  <c r="D300" i="31"/>
  <c r="D262" i="31"/>
  <c r="D298" i="31"/>
  <c r="E258" i="31"/>
  <c r="F298" i="31"/>
  <c r="F261" i="31"/>
  <c r="B95" i="42"/>
  <c r="D24" i="42"/>
  <c r="B130" i="42"/>
  <c r="B153" i="42"/>
  <c r="B74" i="42"/>
  <c r="B41" i="42"/>
  <c r="E299" i="31" l="1"/>
  <c r="E261" i="31"/>
  <c r="E262" i="31"/>
  <c r="C41" i="42"/>
  <c r="D41" i="42"/>
  <c r="B94" i="42"/>
  <c r="E24" i="42"/>
  <c r="B129" i="42"/>
  <c r="B152" i="42"/>
  <c r="B73" i="42"/>
  <c r="B40" i="42"/>
  <c r="E40" i="42" l="1"/>
  <c r="C40" i="42"/>
  <c r="D40" i="42"/>
  <c r="B93" i="42"/>
  <c r="F24" i="42"/>
  <c r="B151" i="42"/>
  <c r="B128" i="42"/>
  <c r="B72" i="42"/>
  <c r="B39" i="42"/>
  <c r="E39" i="42" l="1"/>
  <c r="C39" i="42"/>
  <c r="F39" i="42"/>
  <c r="D39" i="42"/>
  <c r="B92" i="42"/>
  <c r="G24" i="42"/>
  <c r="B150" i="42"/>
  <c r="B127" i="42"/>
  <c r="B71" i="42"/>
  <c r="B38" i="42"/>
  <c r="O24" i="14"/>
  <c r="G38" i="42" l="1"/>
  <c r="E38" i="42"/>
  <c r="D38" i="42"/>
  <c r="F38" i="42"/>
  <c r="B91" i="42"/>
  <c r="H24" i="42"/>
  <c r="B126" i="42"/>
  <c r="B149" i="42"/>
  <c r="B70" i="42"/>
  <c r="B37" i="42"/>
  <c r="O24" i="17"/>
  <c r="A1" i="16"/>
  <c r="A1" i="13"/>
  <c r="G37" i="42" l="1"/>
  <c r="E37" i="42"/>
  <c r="H37" i="42"/>
  <c r="F37" i="42"/>
  <c r="B90" i="42"/>
  <c r="I24" i="42"/>
  <c r="B148" i="42"/>
  <c r="B125" i="42"/>
  <c r="B69" i="42"/>
  <c r="B36" i="42"/>
  <c r="I36" i="42" l="1"/>
  <c r="G36" i="42"/>
  <c r="H36" i="42"/>
  <c r="F36" i="42"/>
  <c r="B89" i="42"/>
  <c r="J24" i="42"/>
  <c r="B124" i="42"/>
  <c r="B147" i="42"/>
  <c r="B68" i="42"/>
  <c r="B35" i="42"/>
  <c r="H35" i="42" l="1"/>
  <c r="I35" i="42"/>
  <c r="G35" i="42"/>
  <c r="J35" i="42"/>
  <c r="B88" i="42"/>
  <c r="K24" i="42"/>
  <c r="B146" i="42"/>
  <c r="B123" i="42"/>
  <c r="B67" i="42"/>
  <c r="B34" i="42"/>
  <c r="I34" i="42" l="1"/>
  <c r="K34" i="42"/>
  <c r="J34" i="42"/>
  <c r="H34" i="42"/>
  <c r="B87" i="42"/>
  <c r="L24" i="42"/>
  <c r="B145" i="42"/>
  <c r="B66" i="42"/>
  <c r="B33" i="42"/>
  <c r="L33" i="42" l="1"/>
  <c r="I33" i="42"/>
  <c r="K33" i="42"/>
  <c r="J33" i="42"/>
  <c r="D32" i="42" l="1"/>
  <c r="E32" i="42" s="1"/>
  <c r="F32" i="42" s="1"/>
  <c r="G32" i="42" s="1"/>
  <c r="H32" i="42" s="1"/>
  <c r="I32" i="42" s="1"/>
  <c r="J32" i="42" s="1"/>
  <c r="K32" i="42" s="1"/>
  <c r="L32" i="42" s="1"/>
  <c r="D11" i="42" l="1"/>
  <c r="D65" i="42" s="1"/>
  <c r="B136" i="42"/>
  <c r="B100" i="42"/>
  <c r="D144" i="42"/>
  <c r="D86" i="42"/>
  <c r="C178" i="42"/>
  <c r="B158" i="42"/>
  <c r="B195" i="42"/>
  <c r="D122" i="42"/>
  <c r="E11" i="42" l="1"/>
  <c r="E65" i="42" s="1"/>
  <c r="D178" i="42"/>
  <c r="E86" i="42"/>
  <c r="E122" i="42"/>
  <c r="E144" i="42"/>
  <c r="B205" i="42"/>
  <c r="B210" i="42"/>
  <c r="B196" i="42"/>
  <c r="B20" i="42"/>
  <c r="F11" i="42" l="1"/>
  <c r="E178" i="42"/>
  <c r="F65" i="42"/>
  <c r="F122" i="42"/>
  <c r="F86" i="42"/>
  <c r="B206" i="42"/>
  <c r="B211" i="42"/>
  <c r="F144" i="42"/>
  <c r="F178" i="42"/>
  <c r="B19" i="42"/>
  <c r="K47" i="29"/>
  <c r="K46" i="29"/>
  <c r="K45" i="29"/>
  <c r="K44" i="29"/>
  <c r="G11" i="42" l="1"/>
  <c r="G65" i="42"/>
  <c r="G144" i="42"/>
  <c r="G86" i="42"/>
  <c r="G122" i="42"/>
  <c r="G178" i="42"/>
  <c r="H11" i="42"/>
  <c r="H65" i="42" s="1"/>
  <c r="B18" i="42"/>
  <c r="K47" i="7"/>
  <c r="K46" i="7"/>
  <c r="K44" i="7"/>
  <c r="K45" i="7"/>
  <c r="H144" i="42" l="1"/>
  <c r="H86" i="42"/>
  <c r="H122" i="42"/>
  <c r="I11" i="42"/>
  <c r="I65" i="42" s="1"/>
  <c r="H178" i="42"/>
  <c r="B17" i="42"/>
  <c r="I122" i="42" l="1"/>
  <c r="I86" i="42"/>
  <c r="I144" i="42"/>
  <c r="J11" i="42"/>
  <c r="I178" i="42"/>
  <c r="B16" i="42"/>
  <c r="A11" i="7"/>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J65" i="42" l="1"/>
  <c r="J144" i="42"/>
  <c r="J122" i="42"/>
  <c r="J86" i="42"/>
  <c r="K11" i="42"/>
  <c r="J178" i="42"/>
  <c r="B15" i="42"/>
  <c r="A40" i="7"/>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l="1"/>
  <c r="A37" i="5" s="1"/>
  <c r="K65" i="42"/>
  <c r="K122" i="42"/>
  <c r="K86" i="42"/>
  <c r="K144" i="42"/>
  <c r="L11" i="42"/>
  <c r="K178" i="42"/>
  <c r="B14" i="42"/>
  <c r="A41" i="7"/>
  <c r="A40" i="5" l="1"/>
  <c r="A41" i="5" s="1"/>
  <c r="E36" i="5"/>
  <c r="E35" i="5" s="1"/>
  <c r="E34" i="5" s="1"/>
  <c r="E33" i="5" s="1"/>
  <c r="E32" i="5" s="1"/>
  <c r="E31" i="5" s="1"/>
  <c r="E30" i="5" s="1"/>
  <c r="E29" i="5" s="1"/>
  <c r="E28" i="5" s="1"/>
  <c r="E27" i="5" s="1"/>
  <c r="E26" i="5" s="1"/>
  <c r="E25" i="5" s="1"/>
  <c r="E24" i="5" s="1"/>
  <c r="E23" i="5" s="1"/>
  <c r="E22" i="5" s="1"/>
  <c r="E21" i="5" s="1"/>
  <c r="E20" i="5" s="1"/>
  <c r="E19" i="5" s="1"/>
  <c r="E18" i="5" s="1"/>
  <c r="E17" i="5" s="1"/>
  <c r="E16" i="5" s="1"/>
  <c r="E15" i="5" s="1"/>
  <c r="E14" i="5" s="1"/>
  <c r="E13" i="5" s="1"/>
  <c r="E12" i="5" s="1"/>
  <c r="E11" i="5" s="1"/>
  <c r="E10" i="5" s="1"/>
  <c r="E9" i="5" s="1"/>
  <c r="E8" i="5" s="1"/>
  <c r="E7" i="5" s="1"/>
  <c r="E6" i="5" s="1"/>
  <c r="E5" i="5" s="1"/>
  <c r="L65" i="42"/>
  <c r="L144" i="42"/>
  <c r="L86" i="42"/>
  <c r="L122" i="42"/>
  <c r="L178" i="42"/>
  <c r="B13" i="42"/>
  <c r="A41" i="29"/>
  <c r="A42" i="7"/>
  <c r="L78" i="42" l="1"/>
  <c r="L80" i="42" s="1"/>
  <c r="B12" i="42"/>
  <c r="A45" i="7"/>
  <c r="A46" i="7" s="1"/>
  <c r="A42" i="29"/>
  <c r="M44" i="7" l="1"/>
  <c r="A47" i="16" l="1"/>
  <c r="A40" i="13" l="1"/>
  <c r="O11" i="8"/>
  <c r="A46" i="29"/>
  <c r="A45" i="29"/>
  <c r="A40" i="29"/>
  <c r="A39" i="29"/>
  <c r="A38" i="29"/>
  <c r="A37" i="29"/>
  <c r="A36" i="29"/>
  <c r="A35" i="29"/>
  <c r="A34" i="29"/>
  <c r="A33" i="29"/>
  <c r="A32" i="29"/>
  <c r="A31" i="29"/>
  <c r="A30" i="29"/>
  <c r="A28" i="29"/>
  <c r="A27" i="29"/>
  <c r="A25" i="29"/>
  <c r="A24" i="29"/>
  <c r="A23" i="29"/>
  <c r="A22" i="29"/>
  <c r="A21" i="29"/>
  <c r="A20" i="29"/>
  <c r="A19" i="29"/>
  <c r="A18" i="29"/>
  <c r="A17" i="29"/>
  <c r="A16" i="29"/>
  <c r="A15" i="29"/>
  <c r="A14" i="29"/>
  <c r="A13" i="29"/>
  <c r="A12" i="29"/>
  <c r="A11" i="29"/>
  <c r="M45" i="29"/>
  <c r="M46" i="7"/>
  <c r="M47" i="7"/>
  <c r="A14" i="28"/>
  <c r="A15" i="28" s="1"/>
  <c r="A16" i="28" s="1"/>
  <c r="A17" i="28" s="1"/>
  <c r="A18" i="28" s="1"/>
  <c r="A19" i="28" s="1"/>
  <c r="A20" i="28" s="1"/>
  <c r="A21" i="28" s="1"/>
  <c r="A22" i="28" s="1"/>
  <c r="B11" i="26"/>
  <c r="B12" i="26" s="1"/>
  <c r="M45" i="7"/>
  <c r="B10" i="27"/>
  <c r="B11" i="27"/>
  <c r="L42" i="27"/>
  <c r="M44" i="29"/>
  <c r="G43" i="23"/>
  <c r="D43" i="22"/>
  <c r="B13" i="26" l="1"/>
  <c r="B13" i="27" s="1"/>
  <c r="B12" i="27"/>
  <c r="A28" i="2"/>
  <c r="B27" i="15"/>
  <c r="A23" i="28"/>
  <c r="A11" i="25"/>
  <c r="A9" i="24"/>
  <c r="B10" i="4"/>
  <c r="L45" i="29"/>
  <c r="L46" i="29"/>
  <c r="L44" i="29"/>
  <c r="A26" i="29"/>
  <c r="A29" i="29"/>
  <c r="M46" i="29"/>
  <c r="A10" i="29"/>
  <c r="L47" i="29"/>
  <c r="M47" i="29"/>
  <c r="B14" i="26" l="1"/>
  <c r="B15" i="26" s="1"/>
  <c r="E4" i="5"/>
  <c r="A24" i="28"/>
  <c r="A25" i="28" s="1"/>
  <c r="A26" i="28" s="1"/>
  <c r="A27" i="28" s="1"/>
  <c r="A32" i="28" s="1"/>
  <c r="A27" i="2"/>
  <c r="A26" i="2" s="1"/>
  <c r="A29" i="10"/>
  <c r="A47" i="29"/>
  <c r="A8" i="23"/>
  <c r="A13" i="18"/>
  <c r="B11" i="3"/>
  <c r="A1" i="17"/>
  <c r="A1" i="14"/>
  <c r="A10" i="24"/>
  <c r="A9" i="23"/>
  <c r="A9" i="22"/>
  <c r="A12" i="25"/>
  <c r="B11" i="4"/>
  <c r="C19" i="32" l="1"/>
  <c r="E66" i="32"/>
  <c r="B12" i="3"/>
  <c r="B14" i="27"/>
  <c r="A14" i="18"/>
  <c r="A37" i="1"/>
  <c r="D25" i="31"/>
  <c r="A29" i="11"/>
  <c r="A28" i="10"/>
  <c r="D66" i="32"/>
  <c r="D8" i="22"/>
  <c r="J9" i="22" s="1"/>
  <c r="C27" i="15"/>
  <c r="B16" i="26"/>
  <c r="B15" i="27"/>
  <c r="A31" i="28"/>
  <c r="A25" i="2"/>
  <c r="D27" i="15"/>
  <c r="B12" i="4"/>
  <c r="A10" i="23"/>
  <c r="A10" i="22"/>
  <c r="A11" i="24"/>
  <c r="A13" i="25"/>
  <c r="D9" i="22"/>
  <c r="J10" i="22" s="1"/>
  <c r="A15" i="18" l="1"/>
  <c r="C54" i="32"/>
  <c r="C76" i="32" s="1"/>
  <c r="D38" i="32"/>
  <c r="E38" i="32"/>
  <c r="B13" i="3"/>
  <c r="B44" i="18"/>
  <c r="A36" i="1"/>
  <c r="D24" i="32"/>
  <c r="C18" i="32"/>
  <c r="C32" i="32" s="1"/>
  <c r="A27" i="10"/>
  <c r="A28" i="11"/>
  <c r="A29" i="12"/>
  <c r="L8" i="22"/>
  <c r="D121" i="32"/>
  <c r="D81" i="32"/>
  <c r="C17" i="32"/>
  <c r="E25" i="31"/>
  <c r="B17" i="26"/>
  <c r="B16" i="27"/>
  <c r="E81" i="32"/>
  <c r="E121" i="32"/>
  <c r="A24" i="2"/>
  <c r="E27" i="15"/>
  <c r="L9" i="22"/>
  <c r="D10" i="22"/>
  <c r="J11" i="22" s="1"/>
  <c r="A12" i="24"/>
  <c r="A11" i="22"/>
  <c r="B13" i="4"/>
  <c r="A14" i="25"/>
  <c r="A11" i="23"/>
  <c r="C91" i="32" l="1"/>
  <c r="D76" i="32"/>
  <c r="A16" i="18"/>
  <c r="B14" i="3"/>
  <c r="C106" i="32"/>
  <c r="C131" i="32" s="1"/>
  <c r="C161" i="32" s="1"/>
  <c r="C186" i="32" s="1"/>
  <c r="F38" i="32"/>
  <c r="I38" i="1"/>
  <c r="B43" i="18"/>
  <c r="A35" i="1"/>
  <c r="D250" i="31"/>
  <c r="D267" i="31" s="1"/>
  <c r="D292" i="31" s="1"/>
  <c r="D306" i="31" s="1"/>
  <c r="C39" i="13" s="1"/>
  <c r="C41" i="13" s="1"/>
  <c r="C53" i="32"/>
  <c r="C75" i="32" s="1"/>
  <c r="A26" i="10"/>
  <c r="A27" i="11"/>
  <c r="A30" i="13"/>
  <c r="A50" i="12"/>
  <c r="A28" i="12"/>
  <c r="D136" i="32"/>
  <c r="F66" i="32"/>
  <c r="E24" i="32"/>
  <c r="C16" i="32"/>
  <c r="F25" i="31"/>
  <c r="C52" i="32"/>
  <c r="C74" i="32" s="1"/>
  <c r="C31" i="32"/>
  <c r="B17" i="27"/>
  <c r="B18" i="26"/>
  <c r="A23" i="2"/>
  <c r="E136" i="32"/>
  <c r="L10" i="22"/>
  <c r="F27" i="15"/>
  <c r="A13" i="24"/>
  <c r="B14" i="4"/>
  <c r="A15" i="25"/>
  <c r="A12" i="23"/>
  <c r="A12" i="22"/>
  <c r="D11" i="22"/>
  <c r="J12" i="22" s="1"/>
  <c r="A17" i="18"/>
  <c r="C89" i="32" l="1"/>
  <c r="F74" i="32"/>
  <c r="D74" i="32"/>
  <c r="E74" i="32"/>
  <c r="C90" i="32"/>
  <c r="D75" i="32"/>
  <c r="E75" i="32"/>
  <c r="D91" i="32"/>
  <c r="D146" i="32" s="1"/>
  <c r="D257" i="32" s="1"/>
  <c r="B15" i="3"/>
  <c r="C146" i="32"/>
  <c r="G38" i="32"/>
  <c r="I37" i="1"/>
  <c r="B42" i="18"/>
  <c r="A34" i="1"/>
  <c r="C105" i="32"/>
  <c r="C130" i="32" s="1"/>
  <c r="C160" i="32" s="1"/>
  <c r="C185" i="32" s="1"/>
  <c r="A25" i="10"/>
  <c r="C104" i="32"/>
  <c r="C129" i="32" s="1"/>
  <c r="A26" i="11"/>
  <c r="A29" i="13"/>
  <c r="A49" i="12"/>
  <c r="A27" i="12"/>
  <c r="D192" i="32"/>
  <c r="D206" i="32"/>
  <c r="D247" i="32" s="1"/>
  <c r="F24" i="32"/>
  <c r="G66" i="32"/>
  <c r="G25" i="31"/>
  <c r="C15" i="32"/>
  <c r="C51" i="32"/>
  <c r="C73" i="32" s="1"/>
  <c r="C30" i="32"/>
  <c r="F81" i="32"/>
  <c r="F121" i="32"/>
  <c r="B18" i="27"/>
  <c r="B19" i="26"/>
  <c r="E192" i="32"/>
  <c r="E206" i="32"/>
  <c r="E247" i="32" s="1"/>
  <c r="A22" i="2"/>
  <c r="G27" i="15"/>
  <c r="D12" i="22"/>
  <c r="J13" i="22" s="1"/>
  <c r="A13" i="23"/>
  <c r="A16" i="25"/>
  <c r="A13" i="22"/>
  <c r="A14" i="24"/>
  <c r="B15" i="4"/>
  <c r="L11" i="22"/>
  <c r="A18" i="18"/>
  <c r="B16" i="3"/>
  <c r="C216" i="32"/>
  <c r="E90" i="32" l="1"/>
  <c r="E145" i="32" s="1"/>
  <c r="E256" i="32" s="1"/>
  <c r="D90" i="32"/>
  <c r="D130" i="32" s="1"/>
  <c r="D145" i="32" s="1"/>
  <c r="D256" i="32" s="1"/>
  <c r="C88" i="32"/>
  <c r="E73" i="32"/>
  <c r="F73" i="32"/>
  <c r="D73" i="32"/>
  <c r="G73" i="32"/>
  <c r="D89" i="32"/>
  <c r="D129" i="32" s="1"/>
  <c r="D144" i="32" s="1"/>
  <c r="D255" i="32" s="1"/>
  <c r="E89" i="32"/>
  <c r="E129" i="32" s="1"/>
  <c r="E144" i="32" s="1"/>
  <c r="E255" i="32" s="1"/>
  <c r="F89" i="32"/>
  <c r="F144" i="32" s="1"/>
  <c r="F255" i="32" s="1"/>
  <c r="H38" i="32"/>
  <c r="I38" i="32"/>
  <c r="I36" i="1"/>
  <c r="B41" i="18"/>
  <c r="A33" i="1"/>
  <c r="C145" i="32"/>
  <c r="D262" i="32"/>
  <c r="D299" i="32" s="1"/>
  <c r="D313" i="32" s="1"/>
  <c r="B46" i="16" s="1"/>
  <c r="B48" i="16" s="1"/>
  <c r="A24" i="10"/>
  <c r="A25" i="11"/>
  <c r="A26" i="12"/>
  <c r="A48" i="12"/>
  <c r="A28" i="13"/>
  <c r="E250" i="31"/>
  <c r="E267" i="31" s="1"/>
  <c r="E292" i="31" s="1"/>
  <c r="E306" i="31" s="1"/>
  <c r="D39" i="13" s="1"/>
  <c r="D41" i="13" s="1"/>
  <c r="C103" i="32"/>
  <c r="C128" i="32" s="1"/>
  <c r="C50" i="32"/>
  <c r="C72" i="32" s="1"/>
  <c r="C29" i="32"/>
  <c r="C14" i="32"/>
  <c r="G24" i="32"/>
  <c r="H66" i="32"/>
  <c r="H25" i="31"/>
  <c r="I25" i="31" s="1"/>
  <c r="I66" i="32"/>
  <c r="F136" i="32"/>
  <c r="G81" i="32"/>
  <c r="G121" i="32"/>
  <c r="B20" i="26"/>
  <c r="B19" i="27"/>
  <c r="A21" i="2"/>
  <c r="H27" i="15"/>
  <c r="L12" i="22"/>
  <c r="A17" i="25"/>
  <c r="B16" i="4"/>
  <c r="A14" i="23"/>
  <c r="A14" i="22"/>
  <c r="A15" i="24"/>
  <c r="D13" i="22"/>
  <c r="J14" i="22" s="1"/>
  <c r="B17" i="3"/>
  <c r="A19" i="18"/>
  <c r="C242" i="32"/>
  <c r="C144" i="32"/>
  <c r="C159" i="32"/>
  <c r="C215" i="32"/>
  <c r="C201" i="32"/>
  <c r="E269" i="32" l="1"/>
  <c r="C87" i="32"/>
  <c r="E72" i="32"/>
  <c r="H72" i="32"/>
  <c r="F72" i="32"/>
  <c r="G72" i="32"/>
  <c r="F88" i="32"/>
  <c r="F128" i="32" s="1"/>
  <c r="F143" i="32" s="1"/>
  <c r="F254" i="32" s="1"/>
  <c r="E268" i="32" s="1"/>
  <c r="E305" i="32" s="1"/>
  <c r="G88" i="32"/>
  <c r="G143" i="32" s="1"/>
  <c r="G254" i="32" s="1"/>
  <c r="E88" i="32"/>
  <c r="E128" i="32" s="1"/>
  <c r="E143" i="32" s="1"/>
  <c r="E254" i="32" s="1"/>
  <c r="D88" i="32"/>
  <c r="D128" i="32" s="1"/>
  <c r="D143" i="32" s="1"/>
  <c r="D254" i="32" s="1"/>
  <c r="D269" i="32"/>
  <c r="D306" i="32" s="1"/>
  <c r="D270" i="32"/>
  <c r="I35" i="1"/>
  <c r="B40" i="18"/>
  <c r="A32" i="1"/>
  <c r="F250" i="31"/>
  <c r="F267" i="31" s="1"/>
  <c r="F292" i="31" s="1"/>
  <c r="F306" i="31" s="1"/>
  <c r="E39" i="13" s="1"/>
  <c r="E41" i="13" s="1"/>
  <c r="A23" i="10"/>
  <c r="A25" i="12"/>
  <c r="A47" i="12"/>
  <c r="A27" i="13"/>
  <c r="A24" i="11"/>
  <c r="L13" i="22"/>
  <c r="C102" i="32"/>
  <c r="C127" i="32" s="1"/>
  <c r="I81" i="32"/>
  <c r="I121" i="32"/>
  <c r="G136" i="32"/>
  <c r="H121" i="32"/>
  <c r="H81" i="32"/>
  <c r="H24" i="32"/>
  <c r="I24" i="32" s="1"/>
  <c r="C13" i="32"/>
  <c r="F206" i="32"/>
  <c r="F247" i="32" s="1"/>
  <c r="E262" i="32" s="1"/>
  <c r="E299" i="32" s="1"/>
  <c r="E313" i="32" s="1"/>
  <c r="C46" i="16" s="1"/>
  <c r="C48" i="16" s="1"/>
  <c r="F192" i="32"/>
  <c r="C49" i="32"/>
  <c r="C71" i="32" s="1"/>
  <c r="C28" i="32"/>
  <c r="B21" i="26"/>
  <c r="B20" i="27"/>
  <c r="A20" i="2"/>
  <c r="C257" i="32"/>
  <c r="I27" i="15"/>
  <c r="D14" i="22"/>
  <c r="J15" i="22" s="1"/>
  <c r="A16" i="24"/>
  <c r="A15" i="22"/>
  <c r="B17" i="4"/>
  <c r="A18" i="25"/>
  <c r="A15" i="23"/>
  <c r="A20" i="18"/>
  <c r="B18" i="3"/>
  <c r="C241" i="32"/>
  <c r="C256" i="32" s="1"/>
  <c r="C184" i="32"/>
  <c r="C143" i="32"/>
  <c r="C158" i="32"/>
  <c r="F268" i="32" l="1"/>
  <c r="D272" i="32"/>
  <c r="D307" i="32"/>
  <c r="C101" i="32"/>
  <c r="G71" i="32"/>
  <c r="I71" i="32"/>
  <c r="H71" i="32"/>
  <c r="F71" i="32"/>
  <c r="H87" i="32"/>
  <c r="H142" i="32" s="1"/>
  <c r="H253" i="32" s="1"/>
  <c r="G87" i="32"/>
  <c r="G127" i="32" s="1"/>
  <c r="G142" i="32" s="1"/>
  <c r="G253" i="32" s="1"/>
  <c r="E87" i="32"/>
  <c r="E127" i="32" s="1"/>
  <c r="E142" i="32" s="1"/>
  <c r="E253" i="32" s="1"/>
  <c r="F87" i="32"/>
  <c r="F127" i="32" s="1"/>
  <c r="F142" i="32" s="1"/>
  <c r="F253" i="32" s="1"/>
  <c r="D268" i="32"/>
  <c r="D305" i="32" s="1"/>
  <c r="E272" i="32"/>
  <c r="E306" i="32"/>
  <c r="I34" i="1"/>
  <c r="B39" i="18"/>
  <c r="A31" i="1"/>
  <c r="G250" i="31"/>
  <c r="G267" i="31" s="1"/>
  <c r="G292" i="31" s="1"/>
  <c r="G306" i="31" s="1"/>
  <c r="F39" i="13" s="1"/>
  <c r="F41" i="13" s="1"/>
  <c r="C86" i="32"/>
  <c r="A22" i="10"/>
  <c r="A26" i="13"/>
  <c r="A23" i="11"/>
  <c r="A46" i="12"/>
  <c r="A24" i="12"/>
  <c r="C12" i="32"/>
  <c r="C11" i="32"/>
  <c r="C46" i="32" s="1"/>
  <c r="H136" i="32"/>
  <c r="G192" i="32"/>
  <c r="G206" i="32"/>
  <c r="G247" i="32" s="1"/>
  <c r="F262" i="32" s="1"/>
  <c r="F299" i="32" s="1"/>
  <c r="F313" i="32" s="1"/>
  <c r="D46" i="16" s="1"/>
  <c r="D48" i="16" s="1"/>
  <c r="I136" i="32"/>
  <c r="C48" i="32"/>
  <c r="C70" i="32" s="1"/>
  <c r="C100" i="32" s="1"/>
  <c r="C27" i="32"/>
  <c r="B22" i="26"/>
  <c r="B21" i="27"/>
  <c r="A19" i="2"/>
  <c r="J27" i="15"/>
  <c r="A16" i="22"/>
  <c r="A19" i="25"/>
  <c r="A16" i="23"/>
  <c r="A17" i="24"/>
  <c r="B18" i="4"/>
  <c r="D15" i="22"/>
  <c r="J16" i="22" s="1"/>
  <c r="L14" i="22"/>
  <c r="C270" i="32"/>
  <c r="C294" i="32" s="1"/>
  <c r="C321" i="32" s="1"/>
  <c r="A21" i="18"/>
  <c r="B19" i="3"/>
  <c r="C126" i="32"/>
  <c r="C157" i="32"/>
  <c r="C142" i="32"/>
  <c r="C183" i="32"/>
  <c r="C200" i="32"/>
  <c r="C214" i="32"/>
  <c r="E267" i="32" l="1"/>
  <c r="E304" i="32" s="1"/>
  <c r="I86" i="32"/>
  <c r="I141" i="32" s="1"/>
  <c r="I252" i="32" s="1"/>
  <c r="H86" i="32"/>
  <c r="H126" i="32" s="1"/>
  <c r="H141" i="32" s="1"/>
  <c r="H252" i="32" s="1"/>
  <c r="G86" i="32"/>
  <c r="G126" i="32" s="1"/>
  <c r="G141" i="32" s="1"/>
  <c r="G252" i="32" s="1"/>
  <c r="F86" i="32"/>
  <c r="F126" i="32" s="1"/>
  <c r="F141" i="32" s="1"/>
  <c r="F252" i="32" s="1"/>
  <c r="F267" i="32"/>
  <c r="F304" i="32" s="1"/>
  <c r="G267" i="32"/>
  <c r="F305" i="32"/>
  <c r="F272" i="32"/>
  <c r="D39" i="18"/>
  <c r="I33" i="1"/>
  <c r="B38" i="18"/>
  <c r="A30" i="1"/>
  <c r="H250" i="31"/>
  <c r="H267" i="31" s="1"/>
  <c r="H292" i="31" s="1"/>
  <c r="H306" i="31" s="1"/>
  <c r="G39" i="13" s="1"/>
  <c r="G41" i="13" s="1"/>
  <c r="A21" i="10"/>
  <c r="A22" i="11"/>
  <c r="A25" i="13"/>
  <c r="A45" i="12"/>
  <c r="A23" i="12"/>
  <c r="C85" i="32"/>
  <c r="I192" i="32"/>
  <c r="I206" i="32"/>
  <c r="I247" i="32" s="1"/>
  <c r="H206" i="32"/>
  <c r="H247" i="32" s="1"/>
  <c r="H192" i="32"/>
  <c r="C26" i="32"/>
  <c r="C47" i="32"/>
  <c r="C69" i="32" s="1"/>
  <c r="C99" i="32" s="1"/>
  <c r="B23" i="26"/>
  <c r="B22" i="27"/>
  <c r="A18" i="2"/>
  <c r="K27" i="15"/>
  <c r="D16" i="22"/>
  <c r="J17" i="22" s="1"/>
  <c r="L15" i="22"/>
  <c r="A18" i="24"/>
  <c r="A17" i="23"/>
  <c r="A17" i="22"/>
  <c r="A20" i="25"/>
  <c r="B19" i="4"/>
  <c r="C307" i="32"/>
  <c r="A22" i="18"/>
  <c r="B20" i="3"/>
  <c r="C240" i="32"/>
  <c r="C255" i="32" s="1"/>
  <c r="C141" i="32"/>
  <c r="C156" i="32"/>
  <c r="C68" i="32"/>
  <c r="C213" i="32"/>
  <c r="C199" i="32"/>
  <c r="C125" i="32"/>
  <c r="C182" i="32"/>
  <c r="F266" i="32" l="1"/>
  <c r="F303" i="32" s="1"/>
  <c r="G304" i="32"/>
  <c r="G272" i="32"/>
  <c r="G266" i="32"/>
  <c r="G303" i="32" s="1"/>
  <c r="H266" i="32"/>
  <c r="D38" i="18"/>
  <c r="I32" i="1"/>
  <c r="B37" i="18"/>
  <c r="A29" i="1"/>
  <c r="L16" i="22"/>
  <c r="C84" i="32"/>
  <c r="A20" i="10"/>
  <c r="A24" i="13"/>
  <c r="A21" i="11"/>
  <c r="A44" i="12"/>
  <c r="A22" i="12"/>
  <c r="H262" i="32"/>
  <c r="H299" i="32" s="1"/>
  <c r="H313" i="32" s="1"/>
  <c r="F46" i="16" s="1"/>
  <c r="F48" i="16" s="1"/>
  <c r="G262" i="32"/>
  <c r="G299" i="32" s="1"/>
  <c r="G313" i="32" s="1"/>
  <c r="E46" i="16" s="1"/>
  <c r="E48" i="16" s="1"/>
  <c r="C269" i="32"/>
  <c r="C293" i="32" s="1"/>
  <c r="C306" i="32" s="1"/>
  <c r="B24" i="26"/>
  <c r="B23" i="27"/>
  <c r="A17" i="2"/>
  <c r="L27" i="15"/>
  <c r="A18" i="22"/>
  <c r="A21" i="25"/>
  <c r="A19" i="24"/>
  <c r="B20" i="4"/>
  <c r="A18" i="23"/>
  <c r="D17" i="22"/>
  <c r="J18" i="22" s="1"/>
  <c r="B21" i="3"/>
  <c r="A23" i="18"/>
  <c r="C239" i="32"/>
  <c r="C124" i="32"/>
  <c r="C155" i="32"/>
  <c r="C140" i="32"/>
  <c r="C98" i="32"/>
  <c r="C83" i="32"/>
  <c r="C198" i="32"/>
  <c r="C212" i="32"/>
  <c r="C181" i="32"/>
  <c r="H272" i="32" l="1"/>
  <c r="H303" i="32"/>
  <c r="D37" i="18"/>
  <c r="I31" i="1"/>
  <c r="B36" i="18"/>
  <c r="A28" i="1"/>
  <c r="A19" i="10"/>
  <c r="A43" i="12"/>
  <c r="A21" i="12"/>
  <c r="A20" i="11"/>
  <c r="A23" i="13"/>
  <c r="L17" i="22"/>
  <c r="C320" i="32"/>
  <c r="B25" i="26"/>
  <c r="B24" i="27"/>
  <c r="A16" i="2"/>
  <c r="M27" i="15"/>
  <c r="A20" i="24"/>
  <c r="A19" i="22"/>
  <c r="A22" i="25"/>
  <c r="A19" i="23"/>
  <c r="B21" i="4"/>
  <c r="D18" i="22"/>
  <c r="J19" i="22" s="1"/>
  <c r="C268" i="32"/>
  <c r="C292" i="32" s="1"/>
  <c r="C305" i="32" s="1"/>
  <c r="C254" i="32"/>
  <c r="A24" i="18"/>
  <c r="A25" i="18" s="1"/>
  <c r="A26" i="18" s="1"/>
  <c r="A27" i="18" s="1"/>
  <c r="A28" i="18" s="1"/>
  <c r="A29" i="18" s="1"/>
  <c r="A30" i="18" s="1"/>
  <c r="A31" i="18" s="1"/>
  <c r="A32" i="18" s="1"/>
  <c r="A33" i="18" s="1"/>
  <c r="A34" i="18" s="1"/>
  <c r="A35" i="18" s="1"/>
  <c r="A36" i="18" s="1"/>
  <c r="A37" i="18" s="1"/>
  <c r="A38" i="18" s="1"/>
  <c r="A39" i="18" s="1"/>
  <c r="A40" i="18" s="1"/>
  <c r="B22" i="3"/>
  <c r="C238" i="32"/>
  <c r="C123" i="32"/>
  <c r="C180" i="32"/>
  <c r="C211" i="32"/>
  <c r="C197" i="32"/>
  <c r="C139" i="32"/>
  <c r="C154" i="32"/>
  <c r="D36" i="18" l="1"/>
  <c r="I30" i="1"/>
  <c r="B35" i="18"/>
  <c r="A27" i="1"/>
  <c r="A18" i="10"/>
  <c r="A19" i="11"/>
  <c r="A22" i="13"/>
  <c r="A20" i="12"/>
  <c r="A42" i="12"/>
  <c r="L18" i="22"/>
  <c r="B26" i="26"/>
  <c r="B25" i="27"/>
  <c r="A15" i="2"/>
  <c r="C319" i="32"/>
  <c r="N27" i="15"/>
  <c r="A21" i="24"/>
  <c r="A23" i="25"/>
  <c r="A20" i="23"/>
  <c r="A20" i="22"/>
  <c r="B22" i="4"/>
  <c r="D19" i="22"/>
  <c r="J20" i="22" s="1"/>
  <c r="A41" i="18"/>
  <c r="C267" i="32"/>
  <c r="C291" i="32" s="1"/>
  <c r="C304" i="32" s="1"/>
  <c r="C253" i="32"/>
  <c r="B23" i="3"/>
  <c r="C237" i="32"/>
  <c r="C179" i="32"/>
  <c r="C196" i="32"/>
  <c r="C210" i="32"/>
  <c r="C153" i="32"/>
  <c r="C138" i="32"/>
  <c r="D35" i="18" l="1"/>
  <c r="I29" i="1"/>
  <c r="B34" i="18"/>
  <c r="A26" i="1"/>
  <c r="A17" i="10"/>
  <c r="A21" i="13"/>
  <c r="A41" i="12"/>
  <c r="A19" i="12"/>
  <c r="A18" i="11"/>
  <c r="B26" i="27"/>
  <c r="B27" i="26"/>
  <c r="A14" i="2"/>
  <c r="L19" i="22"/>
  <c r="C318" i="32"/>
  <c r="O27" i="15"/>
  <c r="A24" i="25"/>
  <c r="A21" i="22"/>
  <c r="A21" i="23"/>
  <c r="B23" i="4"/>
  <c r="A22" i="24"/>
  <c r="D20" i="22"/>
  <c r="J21" i="22" s="1"/>
  <c r="A42" i="18"/>
  <c r="C252" i="32"/>
  <c r="C266" i="32"/>
  <c r="C290" i="32" s="1"/>
  <c r="C303" i="32" s="1"/>
  <c r="B24" i="3"/>
  <c r="C236" i="32"/>
  <c r="C178" i="32"/>
  <c r="C209" i="32"/>
  <c r="C195" i="32"/>
  <c r="D34" i="18" l="1"/>
  <c r="I28" i="1"/>
  <c r="B33" i="18"/>
  <c r="A25" i="1"/>
  <c r="A43" i="18"/>
  <c r="A16" i="10"/>
  <c r="A18" i="12"/>
  <c r="A40" i="12"/>
  <c r="A17" i="11"/>
  <c r="A20" i="13"/>
  <c r="B28" i="26"/>
  <c r="B27" i="27"/>
  <c r="A13" i="2"/>
  <c r="L20" i="22"/>
  <c r="P27" i="15"/>
  <c r="B24" i="4"/>
  <c r="A22" i="22"/>
  <c r="A23" i="24"/>
  <c r="A25" i="25"/>
  <c r="A22" i="23"/>
  <c r="D21" i="22"/>
  <c r="J22" i="22" s="1"/>
  <c r="C317" i="32"/>
  <c r="C265" i="32"/>
  <c r="C289" i="32" s="1"/>
  <c r="C316" i="32" s="1"/>
  <c r="C251" i="32"/>
  <c r="B25" i="3"/>
  <c r="C235" i="32"/>
  <c r="C208" i="32"/>
  <c r="C194" i="32"/>
  <c r="D33" i="18" l="1"/>
  <c r="I27" i="1"/>
  <c r="B32" i="18"/>
  <c r="A24" i="1"/>
  <c r="A44" i="18"/>
  <c r="A15" i="10"/>
  <c r="A17" i="12"/>
  <c r="A39" i="12"/>
  <c r="A19" i="13"/>
  <c r="A16" i="11"/>
  <c r="B29" i="26"/>
  <c r="B28" i="27"/>
  <c r="A24" i="19"/>
  <c r="A12" i="2"/>
  <c r="C302" i="32"/>
  <c r="L21" i="22"/>
  <c r="Q27" i="15"/>
  <c r="D22" i="22"/>
  <c r="J23" i="22" s="1"/>
  <c r="A23" i="23"/>
  <c r="A24" i="24"/>
  <c r="A26" i="25"/>
  <c r="A23" i="22"/>
  <c r="B25" i="4"/>
  <c r="C264" i="32"/>
  <c r="C288" i="32" s="1"/>
  <c r="C301" i="32" s="1"/>
  <c r="C250" i="32"/>
  <c r="B26" i="3"/>
  <c r="C234" i="32"/>
  <c r="D32" i="18" l="1"/>
  <c r="I26" i="1"/>
  <c r="B31" i="18"/>
  <c r="A23" i="1"/>
  <c r="A14" i="10"/>
  <c r="A16" i="12"/>
  <c r="A38" i="12"/>
  <c r="A15" i="11"/>
  <c r="A18" i="13"/>
  <c r="C315" i="32"/>
  <c r="S27" i="15"/>
  <c r="T27" i="15"/>
  <c r="B29" i="27"/>
  <c r="B30" i="26"/>
  <c r="A24" i="20"/>
  <c r="A23" i="19"/>
  <c r="A11" i="2"/>
  <c r="L22" i="22"/>
  <c r="R27" i="15"/>
  <c r="B26" i="4"/>
  <c r="A24" i="22"/>
  <c r="A25" i="24"/>
  <c r="A27" i="25"/>
  <c r="A24" i="23"/>
  <c r="D23" i="22"/>
  <c r="J24" i="22" s="1"/>
  <c r="B27" i="3"/>
  <c r="C249" i="32"/>
  <c r="D31" i="18" l="1"/>
  <c r="I25" i="1"/>
  <c r="B30" i="18"/>
  <c r="A22" i="1"/>
  <c r="A13" i="10"/>
  <c r="A14" i="11"/>
  <c r="A15" i="12"/>
  <c r="A37" i="12"/>
  <c r="A17" i="13"/>
  <c r="B31" i="26"/>
  <c r="B30" i="27"/>
  <c r="A22" i="19"/>
  <c r="A10" i="2"/>
  <c r="A23" i="20"/>
  <c r="A24" i="21"/>
  <c r="L23" i="22"/>
  <c r="D24" i="22"/>
  <c r="J25" i="22" s="1"/>
  <c r="A25" i="23"/>
  <c r="B27" i="4"/>
  <c r="A28" i="25"/>
  <c r="A26" i="24"/>
  <c r="A25" i="22"/>
  <c r="B28" i="3"/>
  <c r="D30" i="18" l="1"/>
  <c r="I24" i="1"/>
  <c r="B29" i="18"/>
  <c r="A21" i="1"/>
  <c r="A12" i="10"/>
  <c r="A16" i="13"/>
  <c r="A14" i="12"/>
  <c r="A36" i="12"/>
  <c r="A13" i="11"/>
  <c r="B32" i="26"/>
  <c r="B31" i="27"/>
  <c r="A22" i="20"/>
  <c r="A21" i="19"/>
  <c r="A9" i="2"/>
  <c r="A23" i="21"/>
  <c r="A24" i="15"/>
  <c r="L24" i="22"/>
  <c r="D25" i="22"/>
  <c r="J26" i="22" s="1"/>
  <c r="A27" i="24"/>
  <c r="A26" i="22"/>
  <c r="A29" i="25"/>
  <c r="A26" i="23"/>
  <c r="B28" i="4"/>
  <c r="B29" i="3"/>
  <c r="D29" i="18" l="1"/>
  <c r="I23" i="1"/>
  <c r="B28" i="18"/>
  <c r="A20" i="1"/>
  <c r="A11" i="10"/>
  <c r="A35" i="12"/>
  <c r="A13" i="12"/>
  <c r="A15" i="13"/>
  <c r="A12" i="11"/>
  <c r="L25" i="22"/>
  <c r="B33" i="26"/>
  <c r="B32" i="27"/>
  <c r="A23" i="15"/>
  <c r="A47" i="15"/>
  <c r="A21" i="20"/>
  <c r="A22" i="21"/>
  <c r="A8" i="2"/>
  <c r="A20" i="19"/>
  <c r="A27" i="22"/>
  <c r="A30" i="25"/>
  <c r="A27" i="23"/>
  <c r="B29" i="4"/>
  <c r="A28" i="24"/>
  <c r="D26" i="22"/>
  <c r="J27" i="22" s="1"/>
  <c r="B30" i="3"/>
  <c r="D28" i="18" l="1"/>
  <c r="I22" i="1"/>
  <c r="B27" i="18"/>
  <c r="A19" i="1"/>
  <c r="A10" i="10"/>
  <c r="A11" i="11"/>
  <c r="A14" i="13"/>
  <c r="A12" i="12"/>
  <c r="A34" i="12"/>
  <c r="B33" i="27"/>
  <c r="B34" i="26"/>
  <c r="A19" i="19"/>
  <c r="A20" i="20"/>
  <c r="A7" i="2"/>
  <c r="A21" i="21"/>
  <c r="A46" i="15"/>
  <c r="A22" i="15"/>
  <c r="L26" i="22"/>
  <c r="B30" i="4"/>
  <c r="A29" i="24"/>
  <c r="A28" i="23"/>
  <c r="A28" i="22"/>
  <c r="A31" i="25"/>
  <c r="D27" i="22"/>
  <c r="J28" i="22" s="1"/>
  <c r="B31" i="3"/>
  <c r="D27" i="18" l="1"/>
  <c r="I21" i="1"/>
  <c r="B26" i="18"/>
  <c r="A18" i="1"/>
  <c r="A9" i="10"/>
  <c r="A13" i="13"/>
  <c r="A10" i="11"/>
  <c r="A33" i="12"/>
  <c r="A11" i="12"/>
  <c r="L27" i="22"/>
  <c r="B34" i="27"/>
  <c r="B35" i="26"/>
  <c r="A45" i="15"/>
  <c r="A21" i="15"/>
  <c r="A20" i="21"/>
  <c r="A6" i="2"/>
  <c r="A18" i="19"/>
  <c r="A19" i="20"/>
  <c r="D28" i="22"/>
  <c r="J29" i="22" s="1"/>
  <c r="A29" i="23"/>
  <c r="A29" i="22"/>
  <c r="A30" i="24"/>
  <c r="B31" i="4"/>
  <c r="A32" i="25"/>
  <c r="B32" i="3"/>
  <c r="D26" i="18" l="1"/>
  <c r="I20" i="1"/>
  <c r="B25" i="18"/>
  <c r="A17" i="1"/>
  <c r="A8" i="10"/>
  <c r="A10" i="12"/>
  <c r="A12" i="13"/>
  <c r="A9" i="11"/>
  <c r="B36" i="26"/>
  <c r="B35" i="27"/>
  <c r="A5" i="2"/>
  <c r="A17" i="19"/>
  <c r="A19" i="21"/>
  <c r="A44" i="15"/>
  <c r="A20" i="15"/>
  <c r="A18" i="20"/>
  <c r="L28" i="22"/>
  <c r="A33" i="25"/>
  <c r="A31" i="24"/>
  <c r="B32" i="4"/>
  <c r="A30" i="23"/>
  <c r="A30" i="22"/>
  <c r="D29" i="22"/>
  <c r="J30" i="22" s="1"/>
  <c r="B33" i="3"/>
  <c r="D25" i="18" l="1"/>
  <c r="I19" i="1"/>
  <c r="B24" i="18"/>
  <c r="A16" i="1"/>
  <c r="A7" i="10"/>
  <c r="A8" i="11"/>
  <c r="A9" i="12"/>
  <c r="A11" i="13"/>
  <c r="B37" i="26"/>
  <c r="B36" i="27"/>
  <c r="A17" i="20"/>
  <c r="A18" i="21"/>
  <c r="A16" i="19"/>
  <c r="A19" i="15"/>
  <c r="A43" i="15"/>
  <c r="D30" i="22"/>
  <c r="J31" i="22" s="1"/>
  <c r="B33" i="4"/>
  <c r="A32" i="24"/>
  <c r="A31" i="22"/>
  <c r="A31" i="23"/>
  <c r="A34" i="25"/>
  <c r="L29" i="22"/>
  <c r="B34" i="3"/>
  <c r="D24" i="18" l="1"/>
  <c r="B23" i="18"/>
  <c r="I18" i="1"/>
  <c r="A15" i="1"/>
  <c r="A6" i="10"/>
  <c r="A7" i="11"/>
  <c r="A8" i="12"/>
  <c r="A10" i="13"/>
  <c r="B38" i="26"/>
  <c r="B37" i="27"/>
  <c r="A17" i="21"/>
  <c r="A15" i="19"/>
  <c r="A42" i="15"/>
  <c r="A18" i="15"/>
  <c r="A16" i="20"/>
  <c r="D31" i="22"/>
  <c r="J32" i="22" s="1"/>
  <c r="B34" i="4"/>
  <c r="A33" i="24"/>
  <c r="A32" i="22"/>
  <c r="A35" i="25"/>
  <c r="A32" i="23"/>
  <c r="L30" i="22"/>
  <c r="B35" i="3"/>
  <c r="B22" i="18" l="1"/>
  <c r="I17" i="1"/>
  <c r="A14" i="1"/>
  <c r="A5" i="10"/>
  <c r="A6" i="11"/>
  <c r="A20" i="14"/>
  <c r="A9" i="13"/>
  <c r="A7" i="12"/>
  <c r="B38" i="27"/>
  <c r="B39" i="26"/>
  <c r="C41" i="26" s="1"/>
  <c r="A41" i="15"/>
  <c r="A17" i="15"/>
  <c r="A16" i="21"/>
  <c r="A15" i="20"/>
  <c r="A14" i="19"/>
  <c r="D32" i="22"/>
  <c r="J33" i="22" s="1"/>
  <c r="A34" i="24"/>
  <c r="A36" i="25"/>
  <c r="B35" i="4"/>
  <c r="A33" i="23"/>
  <c r="A33" i="22"/>
  <c r="L31" i="22"/>
  <c r="B36" i="3"/>
  <c r="B21" i="18" l="1"/>
  <c r="I16" i="1"/>
  <c r="A13" i="1"/>
  <c r="C42" i="26"/>
  <c r="B39" i="27"/>
  <c r="C43" i="26"/>
  <c r="A6" i="12"/>
  <c r="A8" i="13"/>
  <c r="A19" i="14"/>
  <c r="A5" i="11"/>
  <c r="A14" i="20"/>
  <c r="A15" i="21"/>
  <c r="A40" i="15"/>
  <c r="A16" i="15"/>
  <c r="A13" i="19"/>
  <c r="D33" i="22"/>
  <c r="J34" i="22" s="1"/>
  <c r="L32" i="22"/>
  <c r="A34" i="23"/>
  <c r="B36" i="4"/>
  <c r="A34" i="22"/>
  <c r="A37" i="25"/>
  <c r="A35" i="24"/>
  <c r="B37" i="3"/>
  <c r="B20" i="18" l="1"/>
  <c r="I15" i="1"/>
  <c r="A12" i="1"/>
  <c r="L33" i="22"/>
  <c r="A7" i="13"/>
  <c r="A5" i="12"/>
  <c r="A18" i="14"/>
  <c r="A12" i="19"/>
  <c r="A39" i="15"/>
  <c r="A15" i="15"/>
  <c r="A14" i="21"/>
  <c r="A13" i="20"/>
  <c r="A35" i="23"/>
  <c r="A38" i="25"/>
  <c r="A35" i="22"/>
  <c r="A36" i="24"/>
  <c r="B37" i="4"/>
  <c r="D34" i="22"/>
  <c r="J35" i="22" s="1"/>
  <c r="B38" i="3"/>
  <c r="B19" i="18" l="1"/>
  <c r="I14" i="1"/>
  <c r="A11" i="1"/>
  <c r="A6" i="13"/>
  <c r="A17" i="14"/>
  <c r="A12" i="20"/>
  <c r="A38" i="15"/>
  <c r="A14" i="15"/>
  <c r="A13" i="21"/>
  <c r="A11" i="19"/>
  <c r="L34" i="22"/>
  <c r="B38" i="4"/>
  <c r="A37" i="24"/>
  <c r="A39" i="25"/>
  <c r="A36" i="23"/>
  <c r="A36" i="22"/>
  <c r="D35" i="22"/>
  <c r="J36" i="22" s="1"/>
  <c r="B39" i="3"/>
  <c r="B18" i="18" l="1"/>
  <c r="I13" i="1"/>
  <c r="A10" i="1"/>
  <c r="A16" i="14"/>
  <c r="A5" i="13"/>
  <c r="A10" i="19"/>
  <c r="A11" i="20"/>
  <c r="A37" i="15"/>
  <c r="A13" i="15"/>
  <c r="A12" i="21"/>
  <c r="L35" i="22"/>
  <c r="D36" i="22"/>
  <c r="J37" i="22" s="1"/>
  <c r="A40" i="25"/>
  <c r="A37" i="23"/>
  <c r="A37" i="22"/>
  <c r="B39" i="4"/>
  <c r="A38" i="24"/>
  <c r="B40" i="3"/>
  <c r="B41" i="3" l="1"/>
  <c r="B17" i="18"/>
  <c r="I12" i="1"/>
  <c r="A9" i="1"/>
  <c r="A15" i="14"/>
  <c r="A11" i="21"/>
  <c r="A12" i="15"/>
  <c r="A36" i="15"/>
  <c r="A10" i="20"/>
  <c r="A9" i="19"/>
  <c r="L36" i="22"/>
  <c r="D37" i="22"/>
  <c r="J38" i="22" s="1"/>
  <c r="A41" i="25"/>
  <c r="A38" i="22"/>
  <c r="A38" i="23"/>
  <c r="B40" i="4"/>
  <c r="A42" i="25" s="1"/>
  <c r="A39" i="24"/>
  <c r="B42" i="3" l="1"/>
  <c r="B16" i="18"/>
  <c r="I11" i="1"/>
  <c r="A8" i="1"/>
  <c r="A14" i="14"/>
  <c r="A9" i="20"/>
  <c r="A35" i="15"/>
  <c r="A11" i="15"/>
  <c r="A10" i="21"/>
  <c r="A8" i="19"/>
  <c r="A7" i="19" s="1"/>
  <c r="A6" i="19" s="1"/>
  <c r="A5" i="19" s="1"/>
  <c r="L37" i="22"/>
  <c r="D38" i="22"/>
  <c r="J39" i="22" s="1"/>
  <c r="A39" i="22"/>
  <c r="A40" i="24"/>
  <c r="B41" i="4"/>
  <c r="A39" i="23"/>
  <c r="B15" i="18" l="1"/>
  <c r="I10" i="1"/>
  <c r="A7" i="1"/>
  <c r="B42" i="4"/>
  <c r="A43" i="25"/>
  <c r="A41" i="24"/>
  <c r="A40" i="23"/>
  <c r="A13" i="14"/>
  <c r="A8" i="20"/>
  <c r="A9" i="21"/>
  <c r="A10" i="15"/>
  <c r="A34" i="15"/>
  <c r="A40" i="22"/>
  <c r="D39" i="22"/>
  <c r="J40" i="22" s="1"/>
  <c r="L38" i="22"/>
  <c r="B14" i="18" l="1"/>
  <c r="I9" i="1"/>
  <c r="A6" i="1"/>
  <c r="A41" i="22"/>
  <c r="A42" i="24"/>
  <c r="A41" i="23"/>
  <c r="B43" i="4"/>
  <c r="A12" i="14"/>
  <c r="A8" i="21"/>
  <c r="A7" i="20"/>
  <c r="A6" i="20" s="1"/>
  <c r="A5" i="20" s="1"/>
  <c r="A9" i="15"/>
  <c r="A33" i="15"/>
  <c r="D40" i="22"/>
  <c r="J41" i="22" s="1"/>
  <c r="L39" i="22"/>
  <c r="B13" i="18" l="1"/>
  <c r="I8" i="1"/>
  <c r="G40" i="23"/>
  <c r="D41" i="22"/>
  <c r="J42" i="22" s="1"/>
  <c r="A42" i="22"/>
  <c r="A43" i="24"/>
  <c r="A42" i="23"/>
  <c r="A43" i="22"/>
  <c r="A11" i="14"/>
  <c r="L40" i="22"/>
  <c r="A7" i="21"/>
  <c r="A6" i="21" s="1"/>
  <c r="A5" i="21" s="1"/>
  <c r="A32" i="15"/>
  <c r="A8" i="15"/>
  <c r="L41" i="22" l="1"/>
  <c r="B12" i="18"/>
  <c r="I7" i="1"/>
  <c r="D42" i="22"/>
  <c r="J43" i="22" s="1"/>
  <c r="L43" i="22" s="1"/>
  <c r="A43" i="23"/>
  <c r="A44" i="24"/>
  <c r="C41" i="24"/>
  <c r="G41" i="23"/>
  <c r="E42" i="24" s="1"/>
  <c r="E41" i="24"/>
  <c r="C34" i="24"/>
  <c r="C42" i="24"/>
  <c r="A10" i="14"/>
  <c r="C39" i="24"/>
  <c r="C17" i="24"/>
  <c r="C29" i="24"/>
  <c r="C23" i="24"/>
  <c r="C15" i="24"/>
  <c r="A31" i="15"/>
  <c r="A7" i="15"/>
  <c r="A6" i="15" s="1"/>
  <c r="C13" i="24"/>
  <c r="C30" i="24"/>
  <c r="C25" i="24"/>
  <c r="C22" i="24"/>
  <c r="C21" i="24"/>
  <c r="C19" i="24"/>
  <c r="C11" i="24"/>
  <c r="C10" i="24"/>
  <c r="C38" i="24"/>
  <c r="C35" i="24"/>
  <c r="C37" i="24"/>
  <c r="C31" i="24"/>
  <c r="C26" i="24"/>
  <c r="C28" i="24"/>
  <c r="C27" i="24"/>
  <c r="C20" i="24"/>
  <c r="C18" i="24"/>
  <c r="C16" i="24"/>
  <c r="C24" i="24"/>
  <c r="C14" i="24"/>
  <c r="C12" i="24"/>
  <c r="C9" i="24"/>
  <c r="C36" i="24"/>
  <c r="C33" i="24"/>
  <c r="C32" i="24"/>
  <c r="C40" i="24"/>
  <c r="I6" i="1" l="1"/>
  <c r="C44" i="24"/>
  <c r="E44" i="24"/>
  <c r="C9" i="25"/>
  <c r="B49" i="24"/>
  <c r="L42" i="22"/>
  <c r="C43" i="24" s="1"/>
  <c r="G42" i="23"/>
  <c r="E43" i="24" s="1"/>
  <c r="G41" i="24"/>
  <c r="G42" i="24"/>
  <c r="A5" i="15"/>
  <c r="A29" i="15"/>
  <c r="A9" i="14"/>
  <c r="A30" i="15"/>
  <c r="G44" i="24" l="1"/>
  <c r="G43" i="24"/>
  <c r="A8" i="14"/>
  <c r="A28" i="15"/>
  <c r="I41" i="24" l="1"/>
  <c r="I40" i="24" s="1"/>
  <c r="A7" i="14"/>
  <c r="E41" i="29" l="1"/>
  <c r="A6" i="14"/>
  <c r="A5" i="14" l="1"/>
  <c r="G19" i="23" l="1"/>
  <c r="G8" i="23"/>
  <c r="G15" i="23"/>
  <c r="G22" i="23"/>
  <c r="G30" i="23"/>
  <c r="G26" i="23"/>
  <c r="G23" i="23"/>
  <c r="G16" i="23"/>
  <c r="G12" i="23"/>
  <c r="G31" i="23"/>
  <c r="G24" i="23"/>
  <c r="G10" i="23"/>
  <c r="G27" i="23"/>
  <c r="G14" i="23"/>
  <c r="G32" i="23" l="1"/>
  <c r="E11" i="24"/>
  <c r="E27" i="24"/>
  <c r="E9" i="24"/>
  <c r="E13" i="24"/>
  <c r="G36" i="23"/>
  <c r="E25" i="24"/>
  <c r="E31" i="24"/>
  <c r="G39" i="23"/>
  <c r="G34" i="23"/>
  <c r="E15" i="24"/>
  <c r="G11" i="23"/>
  <c r="E17" i="24"/>
  <c r="E23" i="24"/>
  <c r="G35" i="23"/>
  <c r="G38" i="23"/>
  <c r="E28" i="24"/>
  <c r="E24" i="24"/>
  <c r="E16" i="24"/>
  <c r="E20" i="24"/>
  <c r="G28" i="23"/>
  <c r="E32" i="24"/>
  <c r="E29" i="24" l="1"/>
  <c r="G15" i="24"/>
  <c r="G9" i="24"/>
  <c r="G28" i="24"/>
  <c r="G31" i="24"/>
  <c r="G13" i="23"/>
  <c r="G20" i="23"/>
  <c r="G17" i="23"/>
  <c r="G25" i="23"/>
  <c r="G23" i="24"/>
  <c r="E35" i="24"/>
  <c r="G27" i="24"/>
  <c r="G20" i="24"/>
  <c r="E39" i="24"/>
  <c r="G25" i="24"/>
  <c r="G29" i="23"/>
  <c r="G9" i="23"/>
  <c r="G11" i="24"/>
  <c r="G16" i="24"/>
  <c r="G17" i="24"/>
  <c r="E40" i="24"/>
  <c r="E37" i="24"/>
  <c r="G37" i="23"/>
  <c r="G18" i="23"/>
  <c r="G21" i="23"/>
  <c r="G24" i="24"/>
  <c r="E36" i="24"/>
  <c r="E12" i="24"/>
  <c r="G13" i="24"/>
  <c r="E33" i="24"/>
  <c r="G32" i="24"/>
  <c r="G35" i="24" l="1"/>
  <c r="E21" i="24"/>
  <c r="G37" i="24"/>
  <c r="G39" i="24"/>
  <c r="E14" i="24"/>
  <c r="G33" i="24"/>
  <c r="E22" i="24"/>
  <c r="G40" i="24"/>
  <c r="I39" i="24" s="1"/>
  <c r="E26" i="24"/>
  <c r="G12" i="24"/>
  <c r="E19" i="24"/>
  <c r="E10" i="24"/>
  <c r="G36" i="24"/>
  <c r="E38" i="24"/>
  <c r="E30" i="24"/>
  <c r="E18" i="24"/>
  <c r="G29" i="24"/>
  <c r="I38" i="24" l="1"/>
  <c r="G10" i="24"/>
  <c r="G18" i="24"/>
  <c r="G22" i="24"/>
  <c r="G19" i="24"/>
  <c r="G21" i="24"/>
  <c r="G38" i="24"/>
  <c r="G14" i="24"/>
  <c r="G30" i="24"/>
  <c r="G26" i="24"/>
  <c r="I37" i="24" l="1"/>
  <c r="I36" i="24" s="1"/>
  <c r="I35" i="24" s="1"/>
  <c r="I34" i="24" s="1"/>
  <c r="G33" i="23" l="1"/>
  <c r="E34" i="24" l="1"/>
  <c r="G34" i="24" l="1"/>
  <c r="I33" i="24" s="1"/>
  <c r="I32" i="24" s="1"/>
  <c r="I31" i="24" s="1"/>
  <c r="I30" i="24" s="1"/>
  <c r="I29" i="24" s="1"/>
  <c r="I28" i="24" s="1"/>
  <c r="I27" i="24" s="1"/>
  <c r="I26" i="24" s="1"/>
  <c r="I25" i="24" s="1"/>
  <c r="I24" i="24" s="1"/>
  <c r="I23" i="24" s="1"/>
  <c r="I22" i="24" s="1"/>
  <c r="I21" i="24" s="1"/>
  <c r="I20" i="24" s="1"/>
  <c r="I19" i="24" s="1"/>
  <c r="I18" i="24" s="1"/>
  <c r="I17" i="24" s="1"/>
  <c r="I16" i="24" s="1"/>
  <c r="I15" i="24" s="1"/>
  <c r="I14" i="24" s="1"/>
  <c r="I13" i="24" s="1"/>
  <c r="I12" i="24" s="1"/>
  <c r="I11" i="24" s="1"/>
  <c r="I10" i="24" s="1"/>
  <c r="I9" i="24" s="1"/>
  <c r="E42" i="29" l="1"/>
  <c r="E40" i="29" l="1"/>
  <c r="E39" i="29" l="1"/>
  <c r="E38" i="29" l="1"/>
  <c r="E37" i="29" l="1"/>
  <c r="E36" i="29" l="1"/>
  <c r="E35" i="29" l="1"/>
  <c r="E34" i="29" l="1"/>
  <c r="E33" i="29" l="1"/>
  <c r="E32" i="29" l="1"/>
  <c r="E31" i="29" l="1"/>
  <c r="E30" i="29" l="1"/>
  <c r="E29" i="29" l="1"/>
  <c r="E28" i="29" l="1"/>
  <c r="E27" i="29" l="1"/>
  <c r="E26" i="29" l="1"/>
  <c r="E25" i="29" l="1"/>
  <c r="E24" i="29" l="1"/>
  <c r="E23" i="29" l="1"/>
  <c r="E22" i="29" l="1"/>
  <c r="E21" i="29" l="1"/>
  <c r="E20" i="29" l="1"/>
  <c r="E19" i="29" l="1"/>
  <c r="E18" i="29" l="1"/>
  <c r="E17" i="29" l="1"/>
  <c r="E16" i="29" l="1"/>
  <c r="E15" i="29" l="1"/>
  <c r="E14" i="29" l="1"/>
  <c r="E13" i="29" l="1"/>
  <c r="E12" i="29" l="1"/>
  <c r="E11" i="29" l="1"/>
  <c r="E10" i="29" l="1"/>
  <c r="O41" i="25" l="1"/>
  <c r="O37" i="25"/>
  <c r="O19" i="25"/>
  <c r="O15" i="25"/>
  <c r="O39" i="25"/>
  <c r="O38" i="25"/>
  <c r="O31" i="25"/>
  <c r="O27" i="25"/>
  <c r="O23" i="25"/>
  <c r="O40" i="25"/>
  <c r="O43" i="25"/>
  <c r="O32" i="25"/>
  <c r="O28" i="25"/>
  <c r="O24" i="25"/>
  <c r="O20" i="25"/>
  <c r="O16" i="25"/>
  <c r="O12" i="25"/>
  <c r="O34" i="25"/>
  <c r="O36" i="25"/>
  <c r="O35" i="25"/>
  <c r="O42" i="25"/>
  <c r="O33" i="25"/>
  <c r="O30" i="25"/>
  <c r="O29" i="25"/>
  <c r="O25" i="25"/>
  <c r="O14" i="25"/>
  <c r="O22" i="25"/>
  <c r="O21" i="25"/>
  <c r="O18" i="25"/>
  <c r="O17" i="25"/>
  <c r="O13" i="25"/>
  <c r="O26" i="25"/>
  <c r="C43" i="25" l="1"/>
  <c r="C42" i="25" l="1"/>
  <c r="C41" i="25" l="1"/>
  <c r="C40" i="25" l="1"/>
  <c r="C39" i="25" l="1"/>
  <c r="C38" i="25" l="1"/>
  <c r="C37" i="25" l="1"/>
  <c r="C36" i="25" l="1"/>
  <c r="C35" i="25" l="1"/>
  <c r="C34" i="25" l="1"/>
  <c r="C33" i="25" l="1"/>
  <c r="C32" i="25" l="1"/>
  <c r="C31" i="25" l="1"/>
  <c r="C30" i="25" l="1"/>
  <c r="C29" i="25" l="1"/>
  <c r="C28" i="25" l="1"/>
  <c r="C27" i="25" l="1"/>
  <c r="C26" i="25" l="1"/>
  <c r="C25" i="25" l="1"/>
  <c r="C24" i="25" l="1"/>
  <c r="C23" i="25" l="1"/>
  <c r="C22" i="25" l="1"/>
  <c r="C21" i="25" l="1"/>
  <c r="C20" i="25" l="1"/>
  <c r="C19" i="25" l="1"/>
  <c r="S19" i="25" s="1"/>
  <c r="C18" i="25" l="1"/>
  <c r="S18" i="25" s="1"/>
  <c r="C17" i="25" l="1"/>
  <c r="S17" i="25" s="1"/>
  <c r="C16" i="25" l="1"/>
  <c r="S16" i="25" s="1"/>
  <c r="C15" i="25" l="1"/>
  <c r="S15" i="25" s="1"/>
  <c r="C14" i="25" l="1"/>
  <c r="S14" i="25" s="1"/>
  <c r="C13" i="25" l="1"/>
  <c r="S13" i="25" s="1"/>
  <c r="C12" i="25" l="1"/>
  <c r="S12" i="25" s="1"/>
  <c r="C11" i="25" l="1"/>
  <c r="S11" i="25" s="1"/>
  <c r="D26" i="3" l="1"/>
  <c r="D25" i="3" l="1"/>
  <c r="D22" i="3" l="1"/>
  <c r="D28" i="3" l="1"/>
  <c r="D29" i="3"/>
  <c r="D33" i="3"/>
  <c r="D32" i="3"/>
  <c r="D30" i="3"/>
  <c r="D34" i="3"/>
  <c r="D31" i="3"/>
  <c r="D24" i="3" l="1"/>
  <c r="D27" i="3"/>
  <c r="D23" i="3" l="1"/>
  <c r="D18" i="18" l="1"/>
  <c r="D20" i="18"/>
  <c r="D17" i="18"/>
  <c r="D19" i="18"/>
  <c r="D23" i="18"/>
  <c r="D15" i="18"/>
  <c r="D21" i="18"/>
  <c r="D22" i="18"/>
  <c r="D20" i="3" l="1"/>
  <c r="D18" i="3"/>
  <c r="D17" i="3"/>
  <c r="D13" i="3"/>
  <c r="D19" i="3"/>
  <c r="D16" i="3"/>
  <c r="D15" i="3"/>
  <c r="D14" i="18"/>
  <c r="D21" i="3"/>
  <c r="D16" i="18"/>
  <c r="D14" i="3" l="1"/>
  <c r="D12" i="3"/>
  <c r="G12" i="7" l="1"/>
  <c r="G12" i="29"/>
  <c r="G14" i="29"/>
  <c r="G14" i="7"/>
  <c r="G11" i="29"/>
  <c r="G11" i="7"/>
  <c r="G16" i="29"/>
  <c r="G16" i="7"/>
  <c r="G10" i="29"/>
  <c r="G10" i="7"/>
  <c r="G18" i="29"/>
  <c r="G18" i="7"/>
  <c r="G15" i="29"/>
  <c r="G15" i="7"/>
  <c r="G17" i="29"/>
  <c r="G17" i="7"/>
  <c r="G13" i="29"/>
  <c r="G13" i="7"/>
  <c r="I23" i="25"/>
  <c r="S23" i="25" s="1"/>
  <c r="G22" i="7" l="1"/>
  <c r="G22" i="29"/>
  <c r="I24" i="25"/>
  <c r="S24" i="25" s="1"/>
  <c r="I39" i="25"/>
  <c r="S39" i="25" s="1"/>
  <c r="I26" i="25"/>
  <c r="S26" i="25" s="1"/>
  <c r="I27" i="25"/>
  <c r="S27" i="25" s="1"/>
  <c r="I35" i="25"/>
  <c r="S35" i="25" s="1"/>
  <c r="I34" i="25"/>
  <c r="S34" i="25" s="1"/>
  <c r="I28" i="25"/>
  <c r="S28" i="25" s="1"/>
  <c r="I32" i="25"/>
  <c r="S32" i="25" s="1"/>
  <c r="I25" i="25"/>
  <c r="S25" i="25" s="1"/>
  <c r="I33" i="25"/>
  <c r="S33" i="25" s="1"/>
  <c r="I29" i="25"/>
  <c r="S29" i="25" s="1"/>
  <c r="I31" i="25"/>
  <c r="S31" i="25" s="1"/>
  <c r="I22" i="25"/>
  <c r="S22" i="25" s="1"/>
  <c r="I37" i="25"/>
  <c r="S37" i="25" s="1"/>
  <c r="G30" i="29" l="1"/>
  <c r="G30" i="7"/>
  <c r="G28" i="7"/>
  <c r="G28" i="29"/>
  <c r="G25" i="29"/>
  <c r="G25" i="7"/>
  <c r="G21" i="29"/>
  <c r="G21" i="7"/>
  <c r="G32" i="7"/>
  <c r="G32" i="29"/>
  <c r="G38" i="7"/>
  <c r="G38" i="29"/>
  <c r="G34" i="29"/>
  <c r="G34" i="7"/>
  <c r="G24" i="29"/>
  <c r="G24" i="7"/>
  <c r="G31" i="29"/>
  <c r="G31" i="7"/>
  <c r="G23" i="7"/>
  <c r="G23" i="29"/>
  <c r="G27" i="7"/>
  <c r="G27" i="29"/>
  <c r="G26" i="29"/>
  <c r="G26" i="7"/>
  <c r="G36" i="7"/>
  <c r="G36" i="29"/>
  <c r="G33" i="7"/>
  <c r="G33" i="29"/>
  <c r="I38" i="25"/>
  <c r="S38" i="25" s="1"/>
  <c r="I20" i="25"/>
  <c r="S20" i="25" s="1"/>
  <c r="I30" i="25"/>
  <c r="S30" i="25" s="1"/>
  <c r="I21" i="25"/>
  <c r="S21" i="25" s="1"/>
  <c r="G29" i="7" l="1"/>
  <c r="G29" i="29"/>
  <c r="G37" i="7"/>
  <c r="G37" i="29"/>
  <c r="G20" i="7"/>
  <c r="G20" i="29"/>
  <c r="G19" i="29"/>
  <c r="G19" i="7"/>
  <c r="I36" i="25"/>
  <c r="S36" i="25" s="1"/>
  <c r="G35" i="7" l="1"/>
  <c r="G35" i="29"/>
  <c r="I40" i="25" l="1"/>
  <c r="S40" i="25" s="1"/>
  <c r="I41" i="25"/>
  <c r="S41" i="25" s="1"/>
  <c r="I43" i="25"/>
  <c r="S43" i="25" s="1"/>
  <c r="I42" i="25"/>
  <c r="S42" i="25" s="1"/>
  <c r="G40" i="7" l="1"/>
  <c r="G40" i="29"/>
  <c r="G41" i="29"/>
  <c r="G41" i="7"/>
  <c r="G42" i="7"/>
  <c r="G42" i="29"/>
  <c r="G39" i="7"/>
  <c r="G39" i="29"/>
  <c r="D37" i="3" l="1"/>
  <c r="D36" i="3" l="1"/>
  <c r="D35" i="3" l="1"/>
  <c r="S28" i="21" l="1"/>
  <c r="R28" i="21" s="1"/>
  <c r="Q28" i="21" s="1"/>
  <c r="P28" i="21" s="1"/>
  <c r="O28" i="21" s="1"/>
  <c r="N28" i="21" s="1"/>
  <c r="M28" i="21" s="1"/>
  <c r="L28" i="21" s="1"/>
  <c r="K28" i="21" s="1"/>
  <c r="J28" i="21" s="1"/>
  <c r="I28" i="21" s="1"/>
  <c r="H28" i="21" s="1"/>
  <c r="G28" i="21" s="1"/>
  <c r="F28" i="21" s="1"/>
  <c r="E28" i="21" s="1"/>
  <c r="D28" i="21" s="1"/>
  <c r="C28" i="21" s="1"/>
  <c r="B28" i="21" s="1"/>
  <c r="Q32" i="11" s="1"/>
  <c r="P32" i="11" s="1"/>
  <c r="O32" i="11" s="1"/>
  <c r="N32" i="11" s="1"/>
  <c r="M32" i="11" s="1"/>
  <c r="L32" i="11" s="1"/>
  <c r="K32" i="11" s="1"/>
  <c r="J32" i="11" s="1"/>
  <c r="I32" i="11" s="1"/>
  <c r="H32" i="11" s="1"/>
  <c r="G32" i="11" s="1"/>
  <c r="F32" i="11" s="1"/>
  <c r="E32" i="11" s="1"/>
  <c r="D32" i="11" s="1"/>
  <c r="C32" i="11" s="1"/>
  <c r="B32" i="11" s="1"/>
  <c r="N25" i="14" l="1"/>
  <c r="D11" i="3" l="1"/>
  <c r="D10" i="3"/>
  <c r="M25" i="14"/>
  <c r="L25" i="14" s="1"/>
  <c r="K25" i="14" s="1"/>
  <c r="J25" i="14" s="1"/>
  <c r="I25" i="14" s="1"/>
  <c r="H25" i="14" s="1"/>
  <c r="G25" i="14" s="1"/>
  <c r="F25" i="14" s="1"/>
  <c r="E25" i="14" s="1"/>
  <c r="D25" i="14" s="1"/>
  <c r="C25" i="14" s="1"/>
  <c r="E10" i="3"/>
  <c r="F10" i="3" s="1"/>
  <c r="C10" i="7" s="1"/>
  <c r="E11" i="3" l="1"/>
  <c r="F11" i="3" s="1"/>
  <c r="C11" i="7" s="1"/>
  <c r="E12" i="3" l="1"/>
  <c r="F12" i="3" s="1"/>
  <c r="C12" i="7" s="1"/>
  <c r="E13" i="3" l="1"/>
  <c r="F13" i="3" s="1"/>
  <c r="C13" i="7" s="1"/>
  <c r="E14" i="3" l="1"/>
  <c r="F14" i="3" s="1"/>
  <c r="C14" i="7" s="1"/>
  <c r="E15" i="3" l="1"/>
  <c r="F15" i="3" s="1"/>
  <c r="C15" i="7" s="1"/>
  <c r="E16" i="3" l="1"/>
  <c r="F16" i="3" s="1"/>
  <c r="C16" i="7" s="1"/>
  <c r="E17" i="3" l="1"/>
  <c r="F17" i="3" s="1"/>
  <c r="C17" i="7" s="1"/>
  <c r="E18" i="3" l="1"/>
  <c r="F18" i="3" s="1"/>
  <c r="C18" i="7" s="1"/>
  <c r="E19" i="3" l="1"/>
  <c r="F19" i="3" s="1"/>
  <c r="C19" i="7" s="1"/>
  <c r="E20" i="3" l="1"/>
  <c r="F20" i="3" s="1"/>
  <c r="C20" i="7" s="1"/>
  <c r="B25" i="14"/>
  <c r="V33" i="13" s="1"/>
  <c r="E21" i="3" l="1"/>
  <c r="F21" i="3" s="1"/>
  <c r="C21" i="7" s="1"/>
  <c r="E22" i="3"/>
  <c r="F22" i="3" s="1"/>
  <c r="C22" i="7" s="1"/>
  <c r="U33" i="13" l="1"/>
  <c r="T33" i="13" s="1"/>
  <c r="S33" i="13" s="1"/>
  <c r="R33" i="13" s="1"/>
  <c r="Q33" i="13" s="1"/>
  <c r="P33" i="13" s="1"/>
  <c r="O33" i="13" s="1"/>
  <c r="N33" i="13" s="1"/>
  <c r="M33" i="13" s="1"/>
  <c r="L33" i="13" s="1"/>
  <c r="K33" i="13" s="1"/>
  <c r="J33" i="13" s="1"/>
  <c r="I33" i="13" s="1"/>
  <c r="H33" i="13" s="1"/>
  <c r="E24" i="3" l="1"/>
  <c r="F24" i="3" s="1"/>
  <c r="C24" i="7" s="1"/>
  <c r="E23" i="3"/>
  <c r="F23" i="3" s="1"/>
  <c r="C23" i="7" s="1"/>
  <c r="E25" i="3"/>
  <c r="F25" i="3" s="1"/>
  <c r="C25" i="7" s="1"/>
  <c r="E26" i="3" l="1"/>
  <c r="F26" i="3" s="1"/>
  <c r="C26" i="7" s="1"/>
  <c r="E27" i="3" l="1"/>
  <c r="F27" i="3" s="1"/>
  <c r="C27" i="7" s="1"/>
  <c r="E28" i="3" l="1"/>
  <c r="F28" i="3" s="1"/>
  <c r="C28" i="7" s="1"/>
  <c r="E29" i="3" l="1"/>
  <c r="F29" i="3" s="1"/>
  <c r="C29" i="7" s="1"/>
  <c r="E30" i="3" l="1"/>
  <c r="F30" i="3" s="1"/>
  <c r="C30" i="7" s="1"/>
  <c r="E31" i="3" l="1"/>
  <c r="F31" i="3" s="1"/>
  <c r="C31" i="7" s="1"/>
  <c r="E32" i="3" l="1"/>
  <c r="F32" i="3" s="1"/>
  <c r="C32" i="7" s="1"/>
  <c r="E33" i="3" l="1"/>
  <c r="F33" i="3" s="1"/>
  <c r="C33" i="7" s="1"/>
  <c r="E34" i="3" l="1"/>
  <c r="F34" i="3" s="1"/>
  <c r="C34" i="7" s="1"/>
  <c r="E35" i="3"/>
  <c r="F35" i="3" s="1"/>
  <c r="C35" i="7" s="1"/>
  <c r="E36" i="3" l="1"/>
  <c r="F36" i="3" s="1"/>
  <c r="C36" i="7" s="1"/>
  <c r="G33" i="13"/>
  <c r="E37" i="3" s="1"/>
  <c r="F37" i="3" s="1"/>
  <c r="C37" i="7" s="1"/>
  <c r="D12" i="18" l="1"/>
  <c r="D13" i="18"/>
  <c r="E12" i="18" l="1"/>
  <c r="E13" i="18" l="1"/>
  <c r="E14" i="18" l="1"/>
  <c r="E15" i="18" l="1"/>
  <c r="S50" i="15" l="1"/>
  <c r="R50" i="15" s="1"/>
  <c r="Q50" i="15" s="1"/>
  <c r="P50" i="15" s="1"/>
  <c r="O50" i="15" s="1"/>
  <c r="N50" i="15" s="1"/>
  <c r="M50" i="15" s="1"/>
  <c r="L50" i="15" s="1"/>
  <c r="K50" i="15" s="1"/>
  <c r="J50" i="15" s="1"/>
  <c r="I50" i="15" s="1"/>
  <c r="H50" i="15" s="1"/>
  <c r="G50" i="15" s="1"/>
  <c r="F50" i="15" s="1"/>
  <c r="E50" i="15" s="1"/>
  <c r="D50" i="15" s="1"/>
  <c r="C50" i="15" s="1"/>
  <c r="B50" i="15" s="1"/>
  <c r="Q55" i="12" s="1"/>
  <c r="P55" i="12" s="1"/>
  <c r="O55" i="12" s="1"/>
  <c r="N55" i="12" s="1"/>
  <c r="M55" i="12" s="1"/>
  <c r="L55" i="12" s="1"/>
  <c r="K55" i="12" s="1"/>
  <c r="J55" i="12" s="1"/>
  <c r="I55" i="12" s="1"/>
  <c r="H55" i="12" s="1"/>
  <c r="G55" i="12" s="1"/>
  <c r="F55" i="12" s="1"/>
  <c r="E55" i="12" s="1"/>
  <c r="D55" i="12" s="1"/>
  <c r="C55" i="12" s="1"/>
  <c r="B55" i="12" s="1"/>
  <c r="E16" i="18"/>
  <c r="E17" i="18"/>
  <c r="E18" i="18" l="1"/>
  <c r="E19" i="18" l="1"/>
  <c r="E20" i="18" l="1"/>
  <c r="E21" i="18" l="1"/>
  <c r="E22" i="18" l="1"/>
  <c r="E23" i="18" l="1"/>
  <c r="E24" i="18" l="1"/>
  <c r="U32" i="16"/>
  <c r="E25" i="18"/>
  <c r="T32" i="16" l="1"/>
  <c r="S32" i="16" l="1"/>
  <c r="E26" i="18"/>
  <c r="R32" i="16" l="1"/>
  <c r="E27" i="18"/>
  <c r="Q32" i="16" l="1"/>
  <c r="E28" i="18"/>
  <c r="P32" i="16" l="1"/>
  <c r="E29" i="18"/>
  <c r="O32" i="16" l="1"/>
  <c r="E30" i="18"/>
  <c r="N32" i="16" l="1"/>
  <c r="E31" i="18"/>
  <c r="M32" i="16" l="1"/>
  <c r="E32" i="18"/>
  <c r="L32" i="16" l="1"/>
  <c r="E33" i="18"/>
  <c r="K32" i="16" l="1"/>
  <c r="E34" i="18"/>
  <c r="J32" i="16" l="1"/>
  <c r="E35" i="18"/>
  <c r="I32" i="16" l="1"/>
  <c r="E36" i="18"/>
  <c r="H32" i="16" l="1"/>
  <c r="E37" i="18"/>
  <c r="G32" i="16" l="1"/>
  <c r="G35" i="16" s="1"/>
  <c r="E38" i="18"/>
  <c r="E39" i="18" l="1"/>
  <c r="G58" i="12" l="1"/>
  <c r="F58" i="12" l="1"/>
  <c r="E58" i="12" l="1"/>
  <c r="D58" i="12" l="1"/>
  <c r="C58" i="12" l="1"/>
  <c r="B58" i="12" l="1"/>
  <c r="F39" i="18" l="1"/>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C12" i="29" l="1"/>
  <c r="I12" i="29" s="1"/>
  <c r="G14" i="18"/>
  <c r="G22" i="18"/>
  <c r="C20" i="29"/>
  <c r="I20" i="29" s="1"/>
  <c r="C28" i="29"/>
  <c r="I28" i="29" s="1"/>
  <c r="G30" i="18"/>
  <c r="C36" i="29"/>
  <c r="I36" i="29" s="1"/>
  <c r="G38" i="18"/>
  <c r="C35" i="29"/>
  <c r="I35" i="29" s="1"/>
  <c r="G37" i="18"/>
  <c r="C13" i="29"/>
  <c r="I13" i="29" s="1"/>
  <c r="G15" i="18"/>
  <c r="G23" i="18"/>
  <c r="C21" i="29"/>
  <c r="I21" i="29" s="1"/>
  <c r="G31" i="18"/>
  <c r="C29" i="29"/>
  <c r="I29" i="29" s="1"/>
  <c r="C37" i="29"/>
  <c r="I37" i="29" s="1"/>
  <c r="G39" i="18"/>
  <c r="G13" i="18"/>
  <c r="C11" i="29"/>
  <c r="I11" i="29" s="1"/>
  <c r="C14" i="29"/>
  <c r="I14" i="29" s="1"/>
  <c r="G16" i="18"/>
  <c r="G24" i="18"/>
  <c r="C22" i="29"/>
  <c r="I22" i="29" s="1"/>
  <c r="G32" i="18"/>
  <c r="C30" i="29"/>
  <c r="I30" i="29" s="1"/>
  <c r="G29" i="18"/>
  <c r="C27" i="29"/>
  <c r="I27" i="29" s="1"/>
  <c r="G17" i="18"/>
  <c r="C15" i="29"/>
  <c r="I15" i="29" s="1"/>
  <c r="C23" i="29"/>
  <c r="I23" i="29" s="1"/>
  <c r="G25" i="18"/>
  <c r="C31" i="29"/>
  <c r="I31" i="29" s="1"/>
  <c r="G33" i="18"/>
  <c r="G18" i="18"/>
  <c r="C16" i="29"/>
  <c r="I16" i="29" s="1"/>
  <c r="G26" i="18"/>
  <c r="C24" i="29"/>
  <c r="I24" i="29" s="1"/>
  <c r="G34" i="18"/>
  <c r="C32" i="29"/>
  <c r="I32" i="29" s="1"/>
  <c r="G19" i="18"/>
  <c r="C17" i="29"/>
  <c r="I17" i="29" s="1"/>
  <c r="G27" i="18"/>
  <c r="C25" i="29"/>
  <c r="I25" i="29" s="1"/>
  <c r="G35" i="18"/>
  <c r="C33" i="29"/>
  <c r="I33" i="29" s="1"/>
  <c r="G21" i="18"/>
  <c r="C19" i="29"/>
  <c r="I19" i="29" s="1"/>
  <c r="G12" i="18"/>
  <c r="C10" i="29"/>
  <c r="I10" i="29" s="1"/>
  <c r="G20" i="18"/>
  <c r="C18" i="29"/>
  <c r="I18" i="29" s="1"/>
  <c r="C26" i="29"/>
  <c r="I26" i="29" s="1"/>
  <c r="G28" i="18"/>
  <c r="G36" i="18"/>
  <c r="C34" i="29"/>
  <c r="I34" i="29" s="1"/>
  <c r="K138" i="42" l="1"/>
  <c r="K78" i="42" l="1"/>
  <c r="K80" i="42" s="1"/>
  <c r="L146" i="42" l="1"/>
  <c r="J138" i="42" l="1"/>
  <c r="J78" i="42" l="1"/>
  <c r="J80" i="42" s="1"/>
  <c r="K147" i="42" l="1"/>
  <c r="L147" i="42"/>
  <c r="I138" i="42" l="1"/>
  <c r="L148" i="42" l="1"/>
  <c r="J148" i="42"/>
  <c r="K148" i="42"/>
  <c r="H138" i="42" l="1"/>
  <c r="I78" i="42" l="1"/>
  <c r="I80" i="42" s="1"/>
  <c r="G138" i="42"/>
  <c r="H78" i="42" l="1"/>
  <c r="H80" i="42" s="1"/>
  <c r="F138" i="42"/>
  <c r="G78" i="42"/>
  <c r="G80" i="42" s="1"/>
  <c r="F78" i="42" l="1"/>
  <c r="F80" i="42" s="1"/>
  <c r="E138" i="42"/>
  <c r="L149" i="42" l="1"/>
  <c r="J149" i="42"/>
  <c r="K149" i="42"/>
  <c r="I149" i="42"/>
  <c r="E78" i="42"/>
  <c r="E80" i="42" s="1"/>
  <c r="D138" i="42"/>
  <c r="J150" i="42" l="1"/>
  <c r="H150" i="42"/>
  <c r="L150" i="42"/>
  <c r="K150" i="42"/>
  <c r="I150" i="42"/>
  <c r="D78" i="42"/>
  <c r="D80" i="42" s="1"/>
  <c r="C138" i="42"/>
  <c r="I151" i="42" l="1"/>
  <c r="H151" i="42"/>
  <c r="G151" i="42"/>
  <c r="L151" i="42"/>
  <c r="K151" i="42"/>
  <c r="J151" i="42"/>
  <c r="C78" i="42"/>
  <c r="C80" i="42" s="1"/>
  <c r="J152" i="42" l="1"/>
  <c r="L152" i="42"/>
  <c r="H152" i="42"/>
  <c r="F152" i="42"/>
  <c r="K152" i="42"/>
  <c r="I152" i="42"/>
  <c r="G152" i="42"/>
  <c r="G153" i="42" l="1"/>
  <c r="H153" i="42"/>
  <c r="K153" i="42"/>
  <c r="J153" i="42"/>
  <c r="I153" i="42"/>
  <c r="F153" i="42"/>
  <c r="L153" i="42"/>
  <c r="E153" i="42"/>
  <c r="H154" i="42" l="1"/>
  <c r="F154" i="42"/>
  <c r="G154" i="42"/>
  <c r="J154" i="42"/>
  <c r="K154" i="42"/>
  <c r="I154" i="42"/>
  <c r="E154" i="42"/>
  <c r="L154" i="42"/>
  <c r="D154" i="42"/>
  <c r="L155" i="42" l="1"/>
  <c r="C155" i="42"/>
  <c r="G155" i="42"/>
  <c r="H155" i="42"/>
  <c r="D155" i="42"/>
  <c r="J155" i="42"/>
  <c r="E155" i="42"/>
  <c r="K155" i="42"/>
  <c r="I155" i="42"/>
  <c r="F155" i="42"/>
  <c r="C157" i="42" l="1"/>
  <c r="C195" i="42" s="1"/>
  <c r="K157" i="42"/>
  <c r="K195" i="42" s="1"/>
  <c r="H157" i="42"/>
  <c r="H195" i="42" s="1"/>
  <c r="D157" i="42"/>
  <c r="D195" i="42" s="1"/>
  <c r="J157" i="42"/>
  <c r="J195" i="42" s="1"/>
  <c r="I157" i="42"/>
  <c r="I195" i="42" s="1"/>
  <c r="F157" i="42"/>
  <c r="F195" i="42" s="1"/>
  <c r="G157" i="42"/>
  <c r="G195" i="42" s="1"/>
  <c r="E157" i="42"/>
  <c r="E195" i="42" s="1"/>
  <c r="L157" i="42"/>
  <c r="L195" i="42" s="1"/>
  <c r="C158" i="42" l="1"/>
  <c r="C196" i="42" s="1"/>
  <c r="H158" i="42"/>
  <c r="H196" i="42" s="1"/>
  <c r="E158" i="42"/>
  <c r="E196" i="42" s="1"/>
  <c r="J158" i="42"/>
  <c r="J196" i="42" s="1"/>
  <c r="F158" i="42"/>
  <c r="F196" i="42" s="1"/>
  <c r="D158" i="42"/>
  <c r="D196" i="42" s="1"/>
  <c r="I158" i="42"/>
  <c r="I196" i="42" s="1"/>
  <c r="L158" i="42"/>
  <c r="L196" i="42" s="1"/>
  <c r="G158" i="42"/>
  <c r="G196" i="42" s="1"/>
  <c r="K158" i="42"/>
  <c r="K196" i="42" s="1"/>
  <c r="E42" i="7" l="1"/>
  <c r="E41" i="7"/>
  <c r="E39" i="7" l="1"/>
  <c r="E40" i="7"/>
  <c r="E38" i="7"/>
  <c r="E37" i="7" l="1"/>
  <c r="I37" i="7" s="1"/>
  <c r="E36" i="7" l="1"/>
  <c r="I36" i="7" s="1"/>
  <c r="E35" i="7" l="1"/>
  <c r="I35" i="7" s="1"/>
  <c r="E34" i="7" l="1"/>
  <c r="I34" i="7" s="1"/>
  <c r="E33" i="7" l="1"/>
  <c r="I33" i="7" s="1"/>
  <c r="E32" i="7" l="1"/>
  <c r="I32" i="7" s="1"/>
  <c r="E31" i="7" l="1"/>
  <c r="I31" i="7" s="1"/>
  <c r="E30" i="7" l="1"/>
  <c r="I30" i="7" s="1"/>
  <c r="E29" i="7" l="1"/>
  <c r="I29" i="7" s="1"/>
  <c r="E28" i="7" l="1"/>
  <c r="I28" i="7" s="1"/>
  <c r="E26" i="7" l="1"/>
  <c r="I26" i="7" s="1"/>
  <c r="E24" i="7"/>
  <c r="I24" i="7" s="1"/>
  <c r="E27" i="7"/>
  <c r="I27" i="7" s="1"/>
  <c r="E25" i="7"/>
  <c r="I25" i="7" s="1"/>
  <c r="E23" i="7" l="1"/>
  <c r="I23" i="7" s="1"/>
  <c r="E22" i="7" l="1"/>
  <c r="I22" i="7" s="1"/>
  <c r="E21" i="7" l="1"/>
  <c r="I21" i="7" s="1"/>
  <c r="E20" i="7" l="1"/>
  <c r="I20" i="7" s="1"/>
  <c r="E19" i="7" l="1"/>
  <c r="I19" i="7" s="1"/>
  <c r="E18" i="7" l="1"/>
  <c r="I18" i="7" s="1"/>
  <c r="E17" i="7" l="1"/>
  <c r="I17" i="7" s="1"/>
  <c r="E16" i="7" l="1"/>
  <c r="I16" i="7" s="1"/>
  <c r="E15" i="7" l="1"/>
  <c r="I15" i="7" s="1"/>
  <c r="E14" i="7" l="1"/>
  <c r="I14" i="7" s="1"/>
  <c r="E13" i="7" l="1"/>
  <c r="I13" i="7" s="1"/>
  <c r="E12" i="7" l="1"/>
  <c r="I12" i="7" s="1"/>
  <c r="E11" i="7" l="1"/>
  <c r="I11" i="7" s="1"/>
  <c r="E10" i="7" l="1"/>
  <c r="I10" i="7" s="1"/>
  <c r="J10" i="26" l="1"/>
  <c r="J11" i="26" l="1"/>
  <c r="F11" i="26"/>
  <c r="F12" i="26" l="1"/>
  <c r="J12" i="26"/>
  <c r="L12" i="26" s="1"/>
  <c r="L11" i="26"/>
  <c r="J13" i="26" l="1"/>
  <c r="F13" i="26"/>
  <c r="J14" i="26" l="1"/>
  <c r="L14" i="26" s="1"/>
  <c r="F14" i="26"/>
  <c r="L13" i="26"/>
  <c r="J15" i="26" l="1"/>
  <c r="F15" i="26"/>
  <c r="J16" i="26" l="1"/>
  <c r="L16" i="26" s="1"/>
  <c r="F16" i="26"/>
  <c r="L15" i="26"/>
  <c r="F17" i="26" l="1"/>
  <c r="J17" i="26"/>
  <c r="L17" i="26" s="1"/>
  <c r="F18" i="26" l="1"/>
  <c r="J18" i="26"/>
  <c r="L18" i="26" s="1"/>
  <c r="J19" i="26" l="1"/>
  <c r="L19" i="26" s="1"/>
  <c r="F19" i="26"/>
  <c r="J20" i="26" l="1"/>
  <c r="L20" i="26" s="1"/>
  <c r="F20" i="26"/>
  <c r="J22" i="26"/>
  <c r="F22" i="26"/>
  <c r="J21" i="26"/>
  <c r="L21" i="26" s="1"/>
  <c r="F21" i="26"/>
  <c r="F23" i="26" l="1"/>
  <c r="J23" i="26"/>
  <c r="L23" i="26" s="1"/>
  <c r="L22" i="26"/>
  <c r="F24" i="26" l="1"/>
  <c r="J24" i="26"/>
  <c r="L24" i="26" s="1"/>
  <c r="F25" i="26" l="1"/>
  <c r="J25" i="26"/>
  <c r="J26" i="26" l="1"/>
  <c r="L26" i="26" s="1"/>
  <c r="F26" i="26"/>
  <c r="L25" i="26"/>
  <c r="J27" i="26" l="1"/>
  <c r="F27" i="26"/>
  <c r="J28" i="26" l="1"/>
  <c r="L28" i="26" s="1"/>
  <c r="F28" i="26"/>
  <c r="L27" i="26"/>
  <c r="J29" i="26" l="1"/>
  <c r="F29" i="26"/>
  <c r="J30" i="26" l="1"/>
  <c r="L30" i="26" s="1"/>
  <c r="F30" i="26"/>
  <c r="L29" i="26"/>
  <c r="J31" i="26" l="1"/>
  <c r="F31" i="26"/>
  <c r="F32" i="26" l="1"/>
  <c r="J32" i="26"/>
  <c r="L32" i="26" s="1"/>
  <c r="L31" i="26"/>
  <c r="F33" i="26" l="1"/>
  <c r="J33" i="26"/>
  <c r="F34" i="26" l="1"/>
  <c r="J34" i="26"/>
  <c r="L34" i="26" s="1"/>
  <c r="L33" i="26"/>
  <c r="J10" i="27" l="1"/>
  <c r="J11" i="27" l="1"/>
  <c r="L11" i="27" s="1"/>
  <c r="F11" i="27"/>
  <c r="J12" i="27" l="1"/>
  <c r="L12" i="27" s="1"/>
  <c r="F12" i="27"/>
  <c r="J13" i="27" l="1"/>
  <c r="L13" i="27" s="1"/>
  <c r="F13" i="27"/>
  <c r="F14" i="27"/>
  <c r="J14" i="27"/>
  <c r="L14" i="27" l="1"/>
  <c r="F15" i="27"/>
  <c r="J15" i="27"/>
  <c r="L15" i="27" s="1"/>
  <c r="F16" i="27" l="1"/>
  <c r="J16" i="27"/>
  <c r="L16" i="27" s="1"/>
  <c r="F17" i="27" l="1"/>
  <c r="J17" i="27"/>
  <c r="L17" i="27" s="1"/>
  <c r="F18" i="27" l="1"/>
  <c r="J18" i="27"/>
  <c r="L18" i="27" s="1"/>
  <c r="F19" i="27" l="1"/>
  <c r="J19" i="27"/>
  <c r="L19" i="27" s="1"/>
  <c r="J20" i="27" l="1"/>
  <c r="L20" i="27" s="1"/>
  <c r="F20" i="27"/>
  <c r="J21" i="27" l="1"/>
  <c r="L21" i="27" s="1"/>
  <c r="F21" i="27"/>
  <c r="F22" i="27" l="1"/>
  <c r="J22" i="27"/>
  <c r="L22" i="27" s="1"/>
  <c r="F23" i="27" l="1"/>
  <c r="J23" i="27"/>
  <c r="L23" i="27" s="1"/>
  <c r="F24" i="27" l="1"/>
  <c r="J24" i="27"/>
  <c r="L24" i="27" s="1"/>
  <c r="F13" i="28" l="1"/>
  <c r="J25" i="27"/>
  <c r="L25" i="27" s="1"/>
  <c r="F25" i="27"/>
  <c r="F26" i="27" l="1"/>
  <c r="J26" i="27"/>
  <c r="L26" i="27" s="1"/>
  <c r="F27" i="27" l="1"/>
  <c r="J27" i="27"/>
  <c r="L27" i="27" s="1"/>
  <c r="F14" i="28"/>
  <c r="D14" i="28"/>
  <c r="J28" i="27" l="1"/>
  <c r="L28" i="27" s="1"/>
  <c r="F28" i="27"/>
  <c r="H14" i="28"/>
  <c r="F15" i="28"/>
  <c r="H15" i="28" s="1"/>
  <c r="D15" i="28"/>
  <c r="F16" i="28" l="1"/>
  <c r="D16" i="28"/>
  <c r="F29" i="27"/>
  <c r="J29" i="27"/>
  <c r="L29" i="27" s="1"/>
  <c r="D17" i="28" l="1"/>
  <c r="F17" i="28"/>
  <c r="H17" i="28" s="1"/>
  <c r="H16" i="28"/>
  <c r="F30" i="27"/>
  <c r="J30" i="27"/>
  <c r="L30" i="27" s="1"/>
  <c r="J31" i="27" l="1"/>
  <c r="D18" i="28"/>
  <c r="F18" i="28"/>
  <c r="H18" i="28" s="1"/>
  <c r="D20" i="28" l="1"/>
  <c r="F20" i="28"/>
  <c r="N19" i="28"/>
  <c r="D19" i="28"/>
  <c r="F19" i="28"/>
  <c r="H19" i="28" s="1"/>
  <c r="H20" i="28" l="1"/>
  <c r="F21" i="28"/>
  <c r="H21" i="28" s="1"/>
  <c r="D21" i="28"/>
  <c r="J32" i="27"/>
  <c r="L32" i="27" s="1"/>
  <c r="F32" i="27"/>
  <c r="N20" i="28"/>
  <c r="P20" i="28" s="1"/>
  <c r="L20" i="28"/>
  <c r="J33" i="27" l="1"/>
  <c r="L33" i="27" s="1"/>
  <c r="F33" i="27"/>
  <c r="L21" i="28"/>
  <c r="N21" i="28"/>
  <c r="D22" i="28"/>
  <c r="F22" i="28"/>
  <c r="H22" i="28" s="1"/>
  <c r="N18" i="28"/>
  <c r="P19" i="28" s="1"/>
  <c r="L19" i="28"/>
  <c r="J34" i="27" l="1"/>
  <c r="L34" i="27" s="1"/>
  <c r="F34" i="27"/>
  <c r="P21" i="28"/>
  <c r="N22" i="28"/>
  <c r="P22" i="28" s="1"/>
  <c r="L22" i="28"/>
  <c r="L18" i="28"/>
  <c r="N17" i="28"/>
  <c r="L17" i="28"/>
  <c r="P18" i="28" l="1"/>
  <c r="N16" i="28"/>
  <c r="P17" i="28" s="1"/>
  <c r="N15" i="28"/>
  <c r="L16" i="28" l="1"/>
  <c r="P16" i="28"/>
  <c r="L15" i="28" l="1"/>
  <c r="N14" i="28"/>
  <c r="N13" i="28"/>
  <c r="L14" i="28" l="1"/>
  <c r="P14" i="28"/>
  <c r="P15" i="28"/>
  <c r="C40" i="13" l="1"/>
  <c r="B32" i="13" s="1"/>
  <c r="D42" i="3" s="1"/>
  <c r="D40" i="13" l="1"/>
  <c r="C32" i="13" s="1"/>
  <c r="D41" i="3" s="1"/>
  <c r="E40" i="13" l="1"/>
  <c r="D32" i="13" s="1"/>
  <c r="D40" i="3" s="1"/>
  <c r="F40" i="13" l="1"/>
  <c r="E32" i="13" s="1"/>
  <c r="D39" i="3" s="1"/>
  <c r="G40" i="13" l="1"/>
  <c r="F32" i="13"/>
  <c r="D38" i="3" s="1"/>
  <c r="F33" i="13"/>
  <c r="E33" i="13" l="1"/>
  <c r="E38" i="3"/>
  <c r="F38" i="3" l="1"/>
  <c r="D33" i="13"/>
  <c r="E39" i="3"/>
  <c r="C38" i="7" l="1"/>
  <c r="F39" i="3"/>
  <c r="C33" i="13"/>
  <c r="E40" i="3"/>
  <c r="F40" i="3" l="1"/>
  <c r="B33" i="13"/>
  <c r="E42" i="3" s="1"/>
  <c r="F42" i="3" s="1"/>
  <c r="E41" i="3"/>
  <c r="C39" i="7"/>
  <c r="F35" i="26"/>
  <c r="J35" i="26"/>
  <c r="I38" i="7"/>
  <c r="F41" i="3" l="1"/>
  <c r="C42" i="7"/>
  <c r="L35" i="26"/>
  <c r="C40" i="7"/>
  <c r="F36" i="26"/>
  <c r="J36" i="26"/>
  <c r="L36" i="26" s="1"/>
  <c r="I39" i="7"/>
  <c r="J39" i="26" l="1"/>
  <c r="I42" i="7"/>
  <c r="I40" i="7"/>
  <c r="J37" i="26"/>
  <c r="L37" i="26" s="1"/>
  <c r="F37" i="26"/>
  <c r="C41" i="7"/>
  <c r="F39" i="26"/>
  <c r="J38" i="26" l="1"/>
  <c r="L38" i="26" s="1"/>
  <c r="F38" i="26"/>
  <c r="I41" i="7"/>
  <c r="I45" i="7" s="1"/>
  <c r="I46" i="7" s="1"/>
  <c r="I47" i="7" s="1"/>
  <c r="L43" i="26"/>
  <c r="L42" i="26" l="1"/>
  <c r="L41" i="26"/>
  <c r="L39" i="26"/>
  <c r="B47" i="16" l="1"/>
  <c r="B29" i="16" s="1"/>
  <c r="D44" i="18" s="1"/>
  <c r="K9" i="8"/>
  <c r="C47" i="16" l="1"/>
  <c r="C29" i="16" s="1"/>
  <c r="D43" i="18" s="1"/>
  <c r="D47" i="16" l="1"/>
  <c r="F47" i="16" l="1"/>
  <c r="E47" i="16"/>
  <c r="E29" i="16" l="1"/>
  <c r="D41" i="18" s="1"/>
  <c r="F32" i="16"/>
  <c r="D29" i="16"/>
  <c r="D42" i="18" s="1"/>
  <c r="F29" i="16"/>
  <c r="D40" i="18" s="1"/>
  <c r="E32" i="16" l="1"/>
  <c r="F35" i="16"/>
  <c r="E40" i="18"/>
  <c r="D32" i="16" l="1"/>
  <c r="E35" i="16"/>
  <c r="E41" i="18" s="1"/>
  <c r="F40" i="18"/>
  <c r="C32" i="16" l="1"/>
  <c r="D35" i="16"/>
  <c r="F41" i="18"/>
  <c r="G40" i="18"/>
  <c r="C38" i="29"/>
  <c r="E42" i="18"/>
  <c r="B32" i="16" l="1"/>
  <c r="B35" i="16" s="1"/>
  <c r="C35" i="16"/>
  <c r="F42" i="18"/>
  <c r="C39" i="29"/>
  <c r="G41" i="18"/>
  <c r="F23" i="28"/>
  <c r="D23" i="28"/>
  <c r="E43" i="18"/>
  <c r="I38" i="29"/>
  <c r="H23" i="28" l="1"/>
  <c r="D24" i="28"/>
  <c r="F24" i="28"/>
  <c r="H24" i="28" s="1"/>
  <c r="F43" i="18"/>
  <c r="E44" i="18"/>
  <c r="N23" i="28"/>
  <c r="L23" i="28"/>
  <c r="I39" i="29"/>
  <c r="C40" i="29"/>
  <c r="G42" i="18"/>
  <c r="F35" i="27"/>
  <c r="J35" i="27"/>
  <c r="L35" i="27" s="1"/>
  <c r="N24" i="28" l="1"/>
  <c r="P24" i="28" s="1"/>
  <c r="L24" i="28"/>
  <c r="P23" i="28"/>
  <c r="I40" i="29"/>
  <c r="F44" i="18"/>
  <c r="C41" i="29"/>
  <c r="G43" i="18"/>
  <c r="D25" i="28"/>
  <c r="F25" i="28"/>
  <c r="F36" i="27"/>
  <c r="J36" i="27"/>
  <c r="L36" i="27" s="1"/>
  <c r="I41" i="29" l="1"/>
  <c r="G44" i="18"/>
  <c r="C42" i="29"/>
  <c r="N25" i="28"/>
  <c r="L25" i="28"/>
  <c r="J37" i="27"/>
  <c r="L37" i="27" s="1"/>
  <c r="F37" i="27"/>
  <c r="F26" i="28"/>
  <c r="H26" i="28" s="1"/>
  <c r="D26" i="28"/>
  <c r="H25" i="28"/>
  <c r="P25" i="28" l="1"/>
  <c r="I42" i="29"/>
  <c r="I45" i="29" s="1"/>
  <c r="I46" i="29" s="1"/>
  <c r="I47" i="29" s="1"/>
  <c r="F38" i="27"/>
  <c r="J38" i="27"/>
  <c r="L38" i="27" s="1"/>
  <c r="F27" i="28"/>
  <c r="H32" i="28" s="1"/>
  <c r="D27" i="28"/>
  <c r="L26" i="28"/>
  <c r="N26" i="28"/>
  <c r="P26" i="28" s="1"/>
  <c r="F39" i="27" l="1"/>
  <c r="J39" i="27"/>
  <c r="L39" i="27" s="1"/>
  <c r="L27" i="28"/>
  <c r="N27" i="28"/>
  <c r="P27" i="28" s="1"/>
  <c r="H27" i="28"/>
  <c r="H31" i="28"/>
  <c r="P31" i="28" l="1"/>
  <c r="P32" i="28"/>
  <c r="M9" i="8"/>
  <c r="O9" i="8" l="1"/>
  <c r="O14" i="8" s="1"/>
  <c r="O18" i="8" s="1"/>
  <c r="O22" i="8" s="1"/>
  <c r="O26" i="8" s="1"/>
</calcChain>
</file>

<file path=xl/sharedStrings.xml><?xml version="1.0" encoding="utf-8"?>
<sst xmlns="http://schemas.openxmlformats.org/spreadsheetml/2006/main" count="3179" uniqueCount="565">
  <si>
    <t>California Workers' Compensation</t>
  </si>
  <si>
    <t>Earned</t>
  </si>
  <si>
    <t xml:space="preserve">Paid </t>
  </si>
  <si>
    <t>Indemnity</t>
  </si>
  <si>
    <t xml:space="preserve">  Paid   </t>
  </si>
  <si>
    <t>Medical</t>
  </si>
  <si>
    <t xml:space="preserve">Total  </t>
  </si>
  <si>
    <t xml:space="preserve">Loss  </t>
  </si>
  <si>
    <t>Year</t>
  </si>
  <si>
    <t>Premium</t>
  </si>
  <si>
    <t>Reserves</t>
  </si>
  <si>
    <t>Ratio*</t>
  </si>
  <si>
    <t>*</t>
  </si>
  <si>
    <t>**</t>
  </si>
  <si>
    <t>Paid medical for accident years 2011 and subsequent exclude the paid cost of medical cost containment programs (MCCP).  Paid medical for accident years 2010 and prior include paid MCCP costs.</t>
  </si>
  <si>
    <t>IBNR*</t>
  </si>
  <si>
    <t>Incurred**</t>
  </si>
  <si>
    <t>Incurred Indemnity Loss Development Factors</t>
  </si>
  <si>
    <t>Age-to-Age (in months)</t>
  </si>
  <si>
    <t>Accident Year</t>
  </si>
  <si>
    <t>Selected (a)</t>
  </si>
  <si>
    <t>Cumulative</t>
  </si>
  <si>
    <t>(a)</t>
  </si>
  <si>
    <t>Incurred Indemnity Loss Development Factors (Continued)</t>
  </si>
  <si>
    <t xml:space="preserve">Cumulative </t>
  </si>
  <si>
    <t xml:space="preserve">(b)  </t>
  </si>
  <si>
    <t xml:space="preserve">(c)  </t>
  </si>
  <si>
    <t>Incurred Medical Loss Development Factors</t>
  </si>
  <si>
    <t>(b)</t>
  </si>
  <si>
    <t>Incurred Medical Loss Development Factors (Continued)</t>
  </si>
  <si>
    <t xml:space="preserve">(d)  </t>
  </si>
  <si>
    <t>Paid Indemnity Loss Development Factors</t>
  </si>
  <si>
    <t>---</t>
  </si>
  <si>
    <t>Paid Indemnity Loss Development Factors (Continued)</t>
  </si>
  <si>
    <t/>
  </si>
  <si>
    <t>Paid Medical Loss Development Factors</t>
  </si>
  <si>
    <t>Selected (c)</t>
  </si>
  <si>
    <t xml:space="preserve">(a)  </t>
  </si>
  <si>
    <t>(c)</t>
  </si>
  <si>
    <t xml:space="preserve">(e)  </t>
  </si>
  <si>
    <t>Paid Medical Loss Development Factors (Continued)</t>
  </si>
  <si>
    <t>(e)</t>
  </si>
  <si>
    <t xml:space="preserve">(f)  </t>
  </si>
  <si>
    <t>Developed Indemnity Loss Ratios Using Selected Loss Development Factors</t>
  </si>
  <si>
    <t>Development Factors</t>
  </si>
  <si>
    <t>(1)</t>
  </si>
  <si>
    <t>(2)</t>
  </si>
  <si>
    <t>(3)</t>
  </si>
  <si>
    <t>(4)</t>
  </si>
  <si>
    <t>Developed Medical Loss Ratios Using Selected Loss Development Factors</t>
  </si>
  <si>
    <t>(5)</t>
  </si>
  <si>
    <t>(6)</t>
  </si>
  <si>
    <t>Adjusted</t>
  </si>
  <si>
    <t>Projected</t>
  </si>
  <si>
    <t>Accident</t>
  </si>
  <si>
    <t>Ultimate</t>
  </si>
  <si>
    <t>Loss Ratio</t>
  </si>
  <si>
    <t>(d)</t>
  </si>
  <si>
    <t>Unadjusted (a)</t>
  </si>
  <si>
    <t>Adjusted (b)</t>
  </si>
  <si>
    <t>Indemnity Benefit Level Factors</t>
  </si>
  <si>
    <t>Annual Benefit</t>
  </si>
  <si>
    <t xml:space="preserve">Annual Impact   </t>
  </si>
  <si>
    <t>Annual</t>
  </si>
  <si>
    <t>Composite</t>
  </si>
  <si>
    <t>Change Prior to</t>
  </si>
  <si>
    <t>on Indemnity Benefits</t>
  </si>
  <si>
    <t>Cost</t>
  </si>
  <si>
    <t>Frequency</t>
  </si>
  <si>
    <t>Due to Wage</t>
  </si>
  <si>
    <t>Impact on</t>
  </si>
  <si>
    <t xml:space="preserve">Adjustment  </t>
  </si>
  <si>
    <t>Adjustments (a)</t>
  </si>
  <si>
    <t>Inflation (b)</t>
  </si>
  <si>
    <t>Indemnity (c)</t>
  </si>
  <si>
    <t>Factor (d)</t>
  </si>
  <si>
    <t>(f)</t>
  </si>
  <si>
    <t>{ [Column (1) /100 + 1.0] x [Column (2) /100 + 1.0] x [Column (3) /100 + 1.0 ] - 1.0 } x 100.</t>
  </si>
  <si>
    <t>On-level factors for accident years 2002, 2003 and 2004 adjust the portion of permanent disability claims that are estimated to not be subject to the January 1, 2005 PDRS (95% for accident year 2002, 75% for accident year 2003 and 40% for accident year 2004) to the January 1, 2005 PDRS level, and adjust for the corresponding utilization impacts on all 2002, 2003 and 2004 indemnity claims.</t>
  </si>
  <si>
    <t>Annual Medical Cost Level Change - Non-Legislative</t>
  </si>
  <si>
    <t>Proportion of</t>
  </si>
  <si>
    <t>Impact of</t>
  </si>
  <si>
    <t>Factor to a</t>
  </si>
  <si>
    <t>Factor to Adjust</t>
  </si>
  <si>
    <t>Medical Not</t>
  </si>
  <si>
    <t>Fee Schedule</t>
  </si>
  <si>
    <t>Change in</t>
  </si>
  <si>
    <t>CPI Change</t>
  </si>
  <si>
    <t>Non-Legislative</t>
  </si>
  <si>
    <t>Subject to</t>
  </si>
  <si>
    <t>Change on</t>
  </si>
  <si>
    <t>on Total</t>
  </si>
  <si>
    <t>Cost Impact on</t>
  </si>
  <si>
    <t>Fee Schedule (a)</t>
  </si>
  <si>
    <t>Total Medical (b)</t>
  </si>
  <si>
    <t>CPI (c)</t>
  </si>
  <si>
    <t>Medical (d)</t>
  </si>
  <si>
    <t>Total Medical (e)</t>
  </si>
  <si>
    <t>(i)</t>
  </si>
  <si>
    <t>(ii)</t>
  </si>
  <si>
    <t>(iii)</t>
  </si>
  <si>
    <t>(iv),(v)</t>
  </si>
  <si>
    <t>(v)</t>
  </si>
  <si>
    <t>Based on a component of the Consumer Price Index. Projections furnished by the California Department of Finance.</t>
  </si>
  <si>
    <t>Adjusted CPI on workers' compensation medical costs that are not subject to fee schedules.  The current year impact is the weighted average of 0% and Column (4), with Columns (1) and (2) from prior years as weights.  (i) 1993's non-fee proportion is reduced by 13.8% due to the new medical-legal fee schedule enacted in 1994.  (ii) 1998's non-fee proportion is reduced by 7.7% due to the Inpatient Hospital Fee Schedule (IHFS) effective 4/1/1999.  (iii) 2002's non-fee proportion is reduced by 7.6% due to the new pharmaceutical fee schedule effective 1/1/2003.  (iv) 2003's non-fee proportion is reduced by 17.2% due to the outpatient fee schedule effective 1/1/2004.  (v) Given the anticipated impact of legislative reform, a 0% inflation rate has been assumed for 2004 and 2005.</t>
  </si>
  <si>
    <t>Column (6) = Column (3) + Column (5).</t>
  </si>
  <si>
    <t>Annual Medical Cost Level Change - Legislative</t>
  </si>
  <si>
    <t>Annual Legislative</t>
  </si>
  <si>
    <t>Annual Legislative Cost Impact</t>
  </si>
  <si>
    <t>Annual Total</t>
  </si>
  <si>
    <t xml:space="preserve">Cost Impact on </t>
  </si>
  <si>
    <t>on Medical Due to</t>
  </si>
  <si>
    <t>Legislative Cost</t>
  </si>
  <si>
    <t>This reflects the annual percentage impact on medical costs due to changes in the frequency of indemnity claims as a result of benefit changes.</t>
  </si>
  <si>
    <t xml:space="preserve">[Column (1) + 1.0] x [Column (2) + 1.0] - 1.0 </t>
  </si>
  <si>
    <t>Total Medical Cost Level Factors</t>
  </si>
  <si>
    <t>Total</t>
  </si>
  <si>
    <t>Legislative</t>
  </si>
  <si>
    <t>Annual Cost</t>
  </si>
  <si>
    <t>On-level</t>
  </si>
  <si>
    <t>Medical (a)</t>
  </si>
  <si>
    <t>See Exhibit 4.2, Column (6).</t>
  </si>
  <si>
    <t>See Exhibit 4.3, Column (3).</t>
  </si>
  <si>
    <t>Column (3) = [1.0 + Column (1) ] x [1.0 + Column (2)] - 1.0.</t>
  </si>
  <si>
    <t xml:space="preserve"> (d)</t>
  </si>
  <si>
    <t xml:space="preserve">Annual Wage Level Changes   </t>
  </si>
  <si>
    <t>Annual Wage</t>
  </si>
  <si>
    <t>Premium Adjustment Factors</t>
  </si>
  <si>
    <t>(2a)</t>
  </si>
  <si>
    <t>(2b)</t>
  </si>
  <si>
    <t>(2c)</t>
  </si>
  <si>
    <t>(7)</t>
  </si>
  <si>
    <t>Ratio of</t>
  </si>
  <si>
    <t>Factor to</t>
  </si>
  <si>
    <t>Insurer Premium</t>
  </si>
  <si>
    <t>Off-Balance</t>
  </si>
  <si>
    <t>Industry Average</t>
  </si>
  <si>
    <t>Industry</t>
  </si>
  <si>
    <t>to an Industry</t>
  </si>
  <si>
    <t>Correction in</t>
  </si>
  <si>
    <t>Charged Rates</t>
  </si>
  <si>
    <t>Average Filed</t>
  </si>
  <si>
    <t>Adjustment</t>
  </si>
  <si>
    <t>Advisory</t>
  </si>
  <si>
    <t>for Impact</t>
  </si>
  <si>
    <t>to Advisory</t>
  </si>
  <si>
    <t>Pure Premium</t>
  </si>
  <si>
    <t xml:space="preserve">Pure Premium </t>
  </si>
  <si>
    <t>to Remove</t>
  </si>
  <si>
    <t>Average</t>
  </si>
  <si>
    <t>of Premium</t>
  </si>
  <si>
    <t>Calendar</t>
  </si>
  <si>
    <t>Rate Level as of</t>
  </si>
  <si>
    <t>Surcharge</t>
  </si>
  <si>
    <t>Experience</t>
  </si>
  <si>
    <t>Resulting from</t>
  </si>
  <si>
    <t>Wage Level (a)</t>
  </si>
  <si>
    <t>Rates (b)</t>
  </si>
  <si>
    <t>Premium (e)</t>
  </si>
  <si>
    <t>Modification (f)</t>
  </si>
  <si>
    <t>Rates</t>
  </si>
  <si>
    <t>Audits (g)</t>
  </si>
  <si>
    <t>Factor (h)</t>
  </si>
  <si>
    <t>See Exhibit 5.1.</t>
  </si>
  <si>
    <t>Based on WCIRB calendar year experience calls.  The industry average charged rates reflect most rating plan adjustments but do not reflect</t>
  </si>
  <si>
    <t>the application of deductible credits or retrospective rating plan adjustments.</t>
  </si>
  <si>
    <t>(2b) ÷ (2a).  This column adjusts premiums at the industry average charged rate level to the industry average filed pure premium</t>
  </si>
  <si>
    <t>Based on unit statistical data.</t>
  </si>
  <si>
    <t xml:space="preserve">Based on average promulgated experience modifications.  Calendar years 1996 through 2000 include adjustments for the impacts of </t>
  </si>
  <si>
    <t>AB 1913 and SB 1217 (1998).</t>
  </si>
  <si>
    <t>(g)</t>
  </si>
  <si>
    <t>Based on a comparison of premium reported on a calendar year basis to premium reported on an estimated ultimate policy year basis over</t>
  </si>
  <si>
    <t xml:space="preserve">the course of two accident years.  The factor is applied only for calendar years 2007 to 2010, during which reported premiums were impacted by </t>
  </si>
  <si>
    <t>recessionary economic forces.</t>
  </si>
  <si>
    <t>(h)</t>
  </si>
  <si>
    <t>(1)x(2c)x(3)x(6) ÷ [(4)x(5)] for calendar years 2007 to 2010.  (1)x(2c)x(3) ÷ [(4)x(5)] for all other calendar years.</t>
  </si>
  <si>
    <t>Annual %</t>
  </si>
  <si>
    <t>Annual Log Differences</t>
  </si>
  <si>
    <t>Changes Intra-</t>
  </si>
  <si>
    <t>Intra-Class Indemnity Frequency</t>
  </si>
  <si>
    <t>AY+1</t>
  </si>
  <si>
    <t>Economic</t>
  </si>
  <si>
    <t>CalOSHA</t>
  </si>
  <si>
    <t>Class Ind Freq</t>
  </si>
  <si>
    <t>Variables</t>
  </si>
  <si>
    <t>Dummy</t>
  </si>
  <si>
    <t>AY</t>
  </si>
  <si>
    <t>Non-cum.</t>
  </si>
  <si>
    <t>Benefit Level</t>
  </si>
  <si>
    <t>Injury Index</t>
  </si>
  <si>
    <t>(1st Prin. Comp.)</t>
  </si>
  <si>
    <t>Variable</t>
  </si>
  <si>
    <t>Y = Hazardousness-Adjusted Noncumulative Indemnity Claim Frequency</t>
  </si>
  <si>
    <t>Constant</t>
  </si>
  <si>
    <t>Std Err of Y Est</t>
  </si>
  <si>
    <t>R Squared</t>
  </si>
  <si>
    <t>No. of Observations</t>
  </si>
  <si>
    <t>Degrees of Freedom</t>
  </si>
  <si>
    <t>X Coefficient(s)</t>
  </si>
  <si>
    <t>Std Err of Coef.</t>
  </si>
  <si>
    <t>Notes:</t>
  </si>
  <si>
    <t>Projection of Indemnity Severity Trends by Accident Year</t>
  </si>
  <si>
    <t>Estimated</t>
  </si>
  <si>
    <t xml:space="preserve">Accident </t>
  </si>
  <si>
    <t>Severity</t>
  </si>
  <si>
    <t>% Change</t>
  </si>
  <si>
    <t>(1) x (3)</t>
  </si>
  <si>
    <t>Source: WCIRB experience calls.</t>
  </si>
  <si>
    <t>Factor (a)</t>
  </si>
  <si>
    <t>Projection of Medical Severity Trends by Accident Year</t>
  </si>
  <si>
    <t xml:space="preserve">    (c) Severities for accident years 2011 and subsequent do not reflect the cost of medical cost 
         containment programs (MCCP). Severities for accident years 2010 and prior do reflect 
         MCCP costs.</t>
  </si>
  <si>
    <t>Severity (a)</t>
  </si>
  <si>
    <t>Factor (b)</t>
  </si>
  <si>
    <t>Adjusted to Remove the Cost of Medical Cost Containment Programs (MCCP)</t>
  </si>
  <si>
    <t>MCCP Removed Based on</t>
  </si>
  <si>
    <t>WCIRB Aggregate</t>
  </si>
  <si>
    <t>MCCP Included</t>
  </si>
  <si>
    <t>Calendar Year Data Calls (b)</t>
  </si>
  <si>
    <t>(8)</t>
  </si>
  <si>
    <t>(9)</t>
  </si>
  <si>
    <t>On-Level</t>
  </si>
  <si>
    <t>Severity (c)</t>
  </si>
  <si>
    <t>Selected Medical Severity Trend:</t>
  </si>
  <si>
    <t>Projected On-Level Accident Year</t>
  </si>
  <si>
    <t>Indemnity Loss to Industry Average Filed Pure Premium Ratios</t>
  </si>
  <si>
    <t>On-Level Indemnity to</t>
  </si>
  <si>
    <t>Developed Indemnity</t>
  </si>
  <si>
    <t>Composite Indemnity</t>
  </si>
  <si>
    <t>Composite Premium</t>
  </si>
  <si>
    <t>Industry Average Filed</t>
  </si>
  <si>
    <t>Pure Premium Ratio</t>
  </si>
  <si>
    <t>(1)×(2)÷(3)</t>
  </si>
  <si>
    <t>Projections (d)</t>
  </si>
  <si>
    <t>See Exhibit 3.1.</t>
  </si>
  <si>
    <t>See Exhibit 4.1.</t>
  </si>
  <si>
    <t>See Exhibit 5.2.</t>
  </si>
  <si>
    <t>Medical Loss to Industry Average Filed Pure Premium Ratios</t>
  </si>
  <si>
    <t>On-Level Medical to</t>
  </si>
  <si>
    <t>Developed Medical</t>
  </si>
  <si>
    <t>Composite Medical</t>
  </si>
  <si>
    <t>See Exhibit 3.2. Medical loss ratios for accident years 2011 and subsequent do not reflect the cost of medical cost containment programs (MCCP). Ratios for accident years 2010 and prior do reflect MCCP costs.</t>
  </si>
  <si>
    <t>See Exhibit 4.4.</t>
  </si>
  <si>
    <t>1.</t>
  </si>
  <si>
    <t>Projected Loss to Industry Average Filed Pure Premium Ratio
(See Exhibits 7.1 and 7.3)</t>
  </si>
  <si>
    <t>Projected Loss Adjustment Expense Factor</t>
  </si>
  <si>
    <t>4.</t>
  </si>
  <si>
    <t>6.</t>
  </si>
  <si>
    <t>Cumulative Unadjusted</t>
  </si>
  <si>
    <t>Indemnity Benefit Level variable is leading. The benefit level change for AY 2004 is related to the AY 2003 change in non-cumulative frequency.</t>
  </si>
  <si>
    <t>The Indemnity Benefit Level change for Ogilvie &amp; Almaraz / Guzman in 2009-2010 is not leading.</t>
  </si>
  <si>
    <t>The Indemnity Benefit Level variable excludes indemnity benefit utilization, and changes in the death and permanent total benefits.</t>
  </si>
  <si>
    <t>The Indemnity Benefit Level variable has been revised due to on-leveling reassessments.  See Actuarial Committee item AC09-03-03.</t>
  </si>
  <si>
    <t>For 1993 on, cumulative claims include both cumulative trauma and occupational disease claims. See March 19, 2014 Actuarial Committee Agenda Item III.</t>
  </si>
  <si>
    <t>The constant term, -0.020, consists of measured offsets that recognize annual changes in real benefit levels relative to nominal</t>
  </si>
  <si>
    <t>benefit levels and long-term economic growth. Without these offsets, the indemnity benefit level and economic variables would project</t>
  </si>
  <si>
    <t>frequency to increase without bound.</t>
  </si>
  <si>
    <t>Factor</t>
  </si>
  <si>
    <t>Adj</t>
  </si>
  <si>
    <t>Estimated Annual Exponential Trend</t>
  </si>
  <si>
    <t>Frequency Adj (Exh 6.1)</t>
  </si>
  <si>
    <t>Projection Assumptions</t>
  </si>
  <si>
    <t>Severity Trend (Exh 6.4)</t>
  </si>
  <si>
    <t>With Separate Adjustments on Open and Closed Claims</t>
  </si>
  <si>
    <t>for Changes in Claim Settlement Rates</t>
  </si>
  <si>
    <t>A. Total Reported Indemnity Claim Counts</t>
  </si>
  <si>
    <t xml:space="preserve">B. Development of Total Reported Indemnity Claim Counts </t>
  </si>
  <si>
    <t>Latest Year</t>
  </si>
  <si>
    <t>Acc. Year</t>
  </si>
  <si>
    <t>Ult. Claim Counts</t>
  </si>
  <si>
    <t>C. Closed Indemnity Claim Counts</t>
  </si>
  <si>
    <t>F. Average Paid Indemnity per Closed Claim</t>
  </si>
  <si>
    <t>Ratio of closed indemnity claim counts (Item C) to the estimated ultimate indemnity claim counts (Item B) for that accident year.</t>
  </si>
  <si>
    <t>The claim counts for the latest evaluation of each accident year are equal to the reported number of closed indemnity claims.  All prior evaluations shown are the product of the latest ultimate indemnity claim settlement ratio (Item D) and the ultimate indemnity claim counts (Item B) for that accident year.</t>
  </si>
  <si>
    <t>I. Paid Indemnity on Open Claims (in $000)</t>
  </si>
  <si>
    <t>Adjusted based on ultimate indemnity claim settlement ratios (Item D) and assuming a log-linear relationship between maturities.</t>
  </si>
  <si>
    <t>Each amount is the product of the adjusted closed indemnity claim counts (Item E) and the adjusted average paid indemnity per closed claim (Item G), and divided by $1,000.</t>
  </si>
  <si>
    <t xml:space="preserve">K. Changes in Paid Indemnity on Open Claims Resulting from the Impact of Changes in </t>
  </si>
  <si>
    <t>Each amount is equal to the product of [the average monthly indemnity payment per open indemnity claim] and [the number of months for the current evaluation].  For evaluations indicating claim settlement rate decreases, the average monthly indemnity payment per open indemnity claim at the prior evaluation is used.  For evaluations indicating claim settlement rate increases, the average monthly indemnity payment per open indemnity claim at the same evaluation is used.</t>
  </si>
  <si>
    <t>Each amount is equal to [the difference between unadjusted and adjusted closed indemnity claim counts (Items C and E)] multiplied by the corresponding [average paid indemnity per open claim for indemnity claims in transition (Item J)].</t>
  </si>
  <si>
    <t>Each amount is the sum of [paid indemnity on open claims (Item I)] and the corresponding [incremental changes in paid indemnity on open claims resulting from the impact of changes in claim settlement rates (Item K)].</t>
  </si>
  <si>
    <t>N. Paid Indemnity Loss Development Factors Based on Adjusted Total Paid Indemnity</t>
  </si>
  <si>
    <t>3-Year Average</t>
  </si>
  <si>
    <t>Each amount is the sum of the adjusted paid indemnity on closed claims (Item H) and the adjusted paid indemnity on open claims (Item L).</t>
  </si>
  <si>
    <t xml:space="preserve">Development factors are based on paid indemnity losses from the same insurer mix as that used in the adjustment for changes in claim settlement rates and applied in the calculation of the development factors in Item N.  </t>
  </si>
  <si>
    <t>(j)</t>
  </si>
  <si>
    <t>Each factor represents the change in age-to-age development factors from Item O to those in Item N.</t>
  </si>
  <si>
    <t>(k)</t>
  </si>
  <si>
    <t>Source:  Accident year experience of insurers with available claim count data</t>
  </si>
  <si>
    <t>F. Average Paid Medical per Closed Indemnity Claim</t>
  </si>
  <si>
    <t>I. Paid Medical on Open Indemnity Claims (in $000)</t>
  </si>
  <si>
    <t>Each amount is equal to the product of [adjusted closed indemnity claim counts (Item E)] and [adjusted average paid medical per closed indemnity claim (Item G)], and divided by $1,000.</t>
  </si>
  <si>
    <t>Source:  Accident year experience of insurers with available claim count and paid loss data</t>
  </si>
  <si>
    <t xml:space="preserve">K. Changes in Paid Medical on Open Indemnity Claims Resulting from the Impact of Changes in </t>
  </si>
  <si>
    <t>Each amount is equal to the product of [the average monthly medical payment per open indemnity claim] and [the number of months for the current evaluation].  For evaluations indicating claim settlement rate decreases, the average monthly medical payment per open indemnity claim at the prior evaluation is used.  For evaluations indicating claim settlement rate increases, the average monthly medical payment per open indemnity claim at the same evaluation is used.</t>
  </si>
  <si>
    <t>Each amount is equal to [the difference between unadjusted and adjusted closed indemnity claim counts (Items C and E)] multiplied by [the corresponding average paid medical per open indemnity claim for indemnity claims in transition (Item J)].</t>
  </si>
  <si>
    <t>Each amount is the sum of [paid medical on open indemnity claims (Item I)] and the corresponding [incremental changes in paid medical on open indemnity claims resulting from the impact of changes in indemnity claim settlement rates (Item K)].</t>
  </si>
  <si>
    <t>M. Paid Medical on Medical-Only Claims (in $000)</t>
  </si>
  <si>
    <t>O. Paid Medical Loss Development Factors Based on Adjusted Total Paid Medical</t>
  </si>
  <si>
    <t>Development factors are based on paid medical losses from the same insurer mix as that used in the adjustment for changes in claim settlement rates and applied in the calculation of the development factors in Item O.</t>
  </si>
  <si>
    <t>Each factor represents the change in age-to-age development factors from Item P to those in Item O.</t>
  </si>
  <si>
    <t>7.</t>
  </si>
  <si>
    <t>Severity Trend (Exh 6.2)</t>
  </si>
  <si>
    <t>Shown for informational purposes only.</t>
  </si>
  <si>
    <t>Incurred medical loss development factors include the paid cost of medical cost containment programs for accident years 2011 and prior.</t>
  </si>
  <si>
    <t>Paid medical loss development factors include the paid cost of medical cost containment programs for accident years 2011 and prior.</t>
  </si>
  <si>
    <t>Each factor is the product of [1.0 + the impact of adjustment for changes in claim settlement rates (Item Q)] and [the adjusted paid medical age-to-age development factor from Exhibit 2.6.1].</t>
  </si>
  <si>
    <t>See Exhibits 2.5.1 and 2.5.2.</t>
  </si>
  <si>
    <t>Source:</t>
  </si>
  <si>
    <t>WCIRB quarterly experience calls</t>
  </si>
  <si>
    <t>Age-to-Age (in months) (b)</t>
  </si>
  <si>
    <t>Adjusted for Changes in Claim Settlement Rates</t>
  </si>
  <si>
    <t>Evaluated as of (in months)</t>
  </si>
  <si>
    <r>
      <t>D. Ultimate Indemnity Claim Settlement Ratio</t>
    </r>
    <r>
      <rPr>
        <sz val="10"/>
        <rFont val="Arial"/>
        <family val="2"/>
      </rPr>
      <t xml:space="preserve"> (a)</t>
    </r>
  </si>
  <si>
    <r>
      <t>E. Adjusted Closed Indemnity Claim Counts at Equal Percentiles of Ultimate Claim Counts</t>
    </r>
    <r>
      <rPr>
        <sz val="10"/>
        <rFont val="Arial"/>
        <family val="2"/>
      </rPr>
      <t xml:space="preserve"> (b)</t>
    </r>
  </si>
  <si>
    <r>
      <t>G. Adjusted Average Paid Indemnity per Closed Claim</t>
    </r>
    <r>
      <rPr>
        <sz val="10"/>
        <rFont val="Arial"/>
        <family val="2"/>
      </rPr>
      <t xml:space="preserve"> (c)</t>
    </r>
  </si>
  <si>
    <r>
      <t>H. Adjusted Paid Indemnity on Closed Claims (in $000)</t>
    </r>
    <r>
      <rPr>
        <sz val="10"/>
        <rFont val="Arial"/>
        <family val="2"/>
      </rPr>
      <t xml:space="preserve"> (d)</t>
    </r>
  </si>
  <si>
    <r>
      <t>J. Average Paid Indemnity per Open Claim for Indemnity Claims in Transition</t>
    </r>
    <r>
      <rPr>
        <sz val="10"/>
        <rFont val="Arial"/>
        <family val="2"/>
      </rPr>
      <t xml:space="preserve"> (e)</t>
    </r>
  </si>
  <si>
    <r>
      <t xml:space="preserve">     </t>
    </r>
    <r>
      <rPr>
        <u/>
        <sz val="10"/>
        <rFont val="Arial"/>
        <family val="2"/>
      </rPr>
      <t>Claim Settlement Rates (in $000)</t>
    </r>
    <r>
      <rPr>
        <sz val="10"/>
        <rFont val="Arial"/>
        <family val="2"/>
      </rPr>
      <t xml:space="preserve"> (f)</t>
    </r>
  </si>
  <si>
    <r>
      <t>L. Adjusted Paid Indemnity on Open Claims (in $000)</t>
    </r>
    <r>
      <rPr>
        <sz val="10"/>
        <rFont val="Arial"/>
        <family val="2"/>
      </rPr>
      <t xml:space="preserve"> (g)</t>
    </r>
  </si>
  <si>
    <r>
      <t>M. Adjusted Total Paid Indemnity (in $000)</t>
    </r>
    <r>
      <rPr>
        <sz val="10"/>
        <rFont val="Arial"/>
        <family val="2"/>
      </rPr>
      <t xml:space="preserve"> (h)</t>
    </r>
  </si>
  <si>
    <r>
      <t>O. Paid Indemnity Loss Development Factors</t>
    </r>
    <r>
      <rPr>
        <sz val="10"/>
        <rFont val="Arial"/>
        <family val="2"/>
      </rPr>
      <t xml:space="preserve"> (i)</t>
    </r>
  </si>
  <si>
    <r>
      <t>P. Impact of Adjustment for Changes in Claim Settlement Rates</t>
    </r>
    <r>
      <rPr>
        <sz val="10"/>
        <rFont val="Arial"/>
        <family val="2"/>
      </rPr>
      <t xml:space="preserve"> (j)</t>
    </r>
  </si>
  <si>
    <r>
      <t>G. Adjusted Average Paid Medical per Closed Indemnity Claim</t>
    </r>
    <r>
      <rPr>
        <sz val="10"/>
        <rFont val="Arial"/>
        <family val="2"/>
      </rPr>
      <t xml:space="preserve"> (c)</t>
    </r>
  </si>
  <si>
    <r>
      <t>H. Adjusted Paid Medical (in $000) on Closed Indemnity Claims</t>
    </r>
    <r>
      <rPr>
        <sz val="10"/>
        <rFont val="Arial"/>
        <family val="2"/>
      </rPr>
      <t xml:space="preserve"> (d)</t>
    </r>
  </si>
  <si>
    <r>
      <t>J. Average Paid Medical per Open Indemnity Claim for Indemnity Claims in Transition</t>
    </r>
    <r>
      <rPr>
        <sz val="10"/>
        <rFont val="Arial"/>
        <family val="2"/>
      </rPr>
      <t xml:space="preserve"> (e)</t>
    </r>
  </si>
  <si>
    <r>
      <t xml:space="preserve">     </t>
    </r>
    <r>
      <rPr>
        <u/>
        <sz val="10"/>
        <rFont val="Arial"/>
        <family val="2"/>
      </rPr>
      <t>Indemnity Claim Settlement Rates (in $000)</t>
    </r>
    <r>
      <rPr>
        <sz val="10"/>
        <rFont val="Arial"/>
        <family val="2"/>
      </rPr>
      <t xml:space="preserve"> (f)</t>
    </r>
  </si>
  <si>
    <r>
      <t>L. Adjusted Paid Medical on Open Indemnity Claims (in $000)</t>
    </r>
    <r>
      <rPr>
        <sz val="10"/>
        <rFont val="Arial"/>
        <family val="2"/>
      </rPr>
      <t xml:space="preserve"> (g)</t>
    </r>
  </si>
  <si>
    <r>
      <t>N. Adjusted Total Paid Medical (in $000)</t>
    </r>
    <r>
      <rPr>
        <sz val="10"/>
        <rFont val="Arial"/>
        <family val="2"/>
      </rPr>
      <t xml:space="preserve"> (h)</t>
    </r>
  </si>
  <si>
    <t>Each amount is the sum of [adjusted paid medical on closed indemnity claims (Item H)], [adjusted paid medical on open indemnity claims (Item L)] and [paid medical on medical-only claims (Item M)].  The effect of the paid cost of medical cost containment programs are only present for accident years 2011 and prior.</t>
  </si>
  <si>
    <r>
      <t>P. Paid Medical Loss Development Factors</t>
    </r>
    <r>
      <rPr>
        <sz val="10"/>
        <rFont val="Arial"/>
        <family val="2"/>
      </rPr>
      <t xml:space="preserve"> (i)</t>
    </r>
  </si>
  <si>
    <r>
      <t>Q. Impact of Adjustment for Changes in Indemnity Claim Settlement Rates</t>
    </r>
    <r>
      <rPr>
        <sz val="10"/>
        <rFont val="Arial"/>
        <family val="2"/>
      </rPr>
      <t xml:space="preserve"> (j)</t>
    </r>
  </si>
  <si>
    <t>Medical**</t>
  </si>
  <si>
    <t>Based on calculations shown on Exhibits 2.6.3 to 2.6.8. Each of these selections are calculated as the latest year paid medical age-to-age factor multiplied by an adjustment for changes in claim settlement rates.</t>
  </si>
  <si>
    <t xml:space="preserve">Cumulative Adjusted </t>
  </si>
  <si>
    <t>for Impact of SB 1160</t>
  </si>
  <si>
    <t xml:space="preserve">Cumulative Unadjusted </t>
  </si>
  <si>
    <t>Cumulative Adjusted</t>
  </si>
  <si>
    <t>for Impact of SB 1160(d)</t>
  </si>
  <si>
    <t>Reform Adjusted</t>
  </si>
  <si>
    <t>See Exhibits 2.6.1 and 2.6.2.</t>
  </si>
  <si>
    <t xml:space="preserve">Based on WCIRB evaluations of the average impact of legislative changes on the cost of indemnity benefits.  These annual changes in benefits reflect the WCIRB's retrospective estimates of the cost impact of recent legislation as reflected in emerging post-reform costs.  The annual cost impacts have been segregated between claim severity and claim frequency impacts. </t>
  </si>
  <si>
    <t xml:space="preserve">    (c) Ultimate severities are on-leveled based on adjustment factors shown on Exhibit 6.3.</t>
  </si>
  <si>
    <t>(a) These adjustment factors are based on Exhibit 4.1, excluding the impact of frequency.</t>
  </si>
  <si>
    <t>From a Special Carrier Study through 1990. Based on WCIRB's Aggregate Indemnity and Medical Costs Calls for years 1991 through 2012. Based on WCIRB medical transaction data from 2013 onwards. Accident years 2011 and subsequent do not include MCCP costs.</t>
  </si>
  <si>
    <t xml:space="preserve">(g)  </t>
  </si>
  <si>
    <r>
      <t xml:space="preserve">Projected Ultimate 
</t>
    </r>
    <r>
      <rPr>
        <u/>
        <sz val="10"/>
        <rFont val="Arial"/>
        <family val="2"/>
      </rPr>
      <t>Loss Ratio</t>
    </r>
  </si>
  <si>
    <t>(4) = (1) x (3)</t>
  </si>
  <si>
    <t xml:space="preserve">    (b) These adjustment factors are based on Exhibit 4.4, excluding the impact of frequency, and 
         including the impact of SB 1160 provisions applicable to outstanding medical losses.</t>
  </si>
  <si>
    <t>Based on the WCIRB's evaluation of the cost impact of changes in the medical fee schedules.</t>
  </si>
  <si>
    <t>5.</t>
  </si>
  <si>
    <t>Developed</t>
  </si>
  <si>
    <t>Loss Ratio (b)</t>
  </si>
  <si>
    <t>Loss Ratio (d)</t>
  </si>
  <si>
    <t>These factors are adjusted for the losses paid prior to July 1, 2017 by -3.6%, -3.8%, -3.4%, -2.4%, -0.9%, and -0.1% to accident years 2011 to 2016, respectively, for the SB 1160 lien reforms. Factors are also adjusted for the impact of pharmaceutical cost reductions to bring the historical payments to the current pharmaceutical cost level.</t>
  </si>
  <si>
    <t>These impacts are based on the weekly wages (See Exhibit 5.1) of injured workers and the legislatively scheduled benefits for that year. Values for 2017 and prior have been updated to reflect a recent WCIRB reassessment of the impact of wage inflation on indemnity benefit levels.</t>
  </si>
  <si>
    <t>2.</t>
  </si>
  <si>
    <t>3.</t>
  </si>
  <si>
    <r>
      <t xml:space="preserve">Accident
</t>
    </r>
    <r>
      <rPr>
        <u/>
        <sz val="10"/>
        <rFont val="Arial"/>
        <family val="2"/>
      </rPr>
      <t>Year</t>
    </r>
  </si>
  <si>
    <t>The developed medical loss ratios shown were derived based on an adjustment for pharmaceutical cost reductions. They are only for purposes of projecting future medical loss ratios and do not reflect true estimates of ultimate loss ratios for those accident years.</t>
  </si>
  <si>
    <t>Reflects the WCIRB’s most recent estimates of the cost impact of legislation. Does not include the impact of the SB 1160 lien provisions on future medical costs as well as the estimated reductions to pharmaceutical costs attributable to SB 863, which are reflected in the medical loss development projections.</t>
  </si>
  <si>
    <t>(ALAE + MCCP + ULAE, See Appendix C)</t>
  </si>
  <si>
    <t>Age</t>
  </si>
  <si>
    <t>Projected:</t>
  </si>
  <si>
    <t>N/A</t>
  </si>
  <si>
    <t>2018*</t>
  </si>
  <si>
    <t>Regression is over AY 1979 through AY 2018.  AY 2019 through AY 2022 are projections.</t>
  </si>
  <si>
    <t>Loss Ratio (a)</t>
  </si>
  <si>
    <t>Adjustment Factor (b)</t>
  </si>
  <si>
    <t>Adjustment Factor (c)</t>
  </si>
  <si>
    <t>On-Level Factor (b)</t>
  </si>
  <si>
    <t>Pure Premium Ratio (e)</t>
  </si>
  <si>
    <t>Accident years 2011 and subsequent do not reflect the paid MCCP costs.  Accident years 2010 and prior do reflect paid MCCP costs.</t>
  </si>
  <si>
    <t xml:space="preserve">    (a) Estimated ultimate severities for all accident years were derived by dividing ultimate medical losses on indemnity claims by ultimate indemnity claim counts.</t>
  </si>
  <si>
    <t xml:space="preserve">    (b) Adjustments to accident years 2005 through 2010 based on WCIRB’s Annual Calls for Direct California Workers’ Compensation</t>
  </si>
  <si>
    <t xml:space="preserve">         Aggregate Indemnity and Medical Costs.</t>
  </si>
  <si>
    <t>Level Change (a)</t>
  </si>
  <si>
    <t>Medical (b)</t>
  </si>
  <si>
    <t>Medical (c)</t>
  </si>
  <si>
    <t>Medical Severity (a)</t>
  </si>
  <si>
    <t>Frequency Changes (b)</t>
  </si>
  <si>
    <t>Impact on Medical (c)</t>
  </si>
  <si>
    <t>Annual (c)</t>
  </si>
  <si>
    <t>Annual (b)</t>
  </si>
  <si>
    <t>AYE</t>
  </si>
  <si>
    <t>Exhibit 2.5.3</t>
  </si>
  <si>
    <t>Exhibit 2.5.4</t>
  </si>
  <si>
    <t>Exhibit 2.5.5</t>
  </si>
  <si>
    <t>Exhibit 2.5.6</t>
  </si>
  <si>
    <t>Exhibit 2.5.7</t>
  </si>
  <si>
    <t>Exhibit 2.5.8</t>
  </si>
  <si>
    <t>Exhibit 2.6.3</t>
  </si>
  <si>
    <t>Exhibit 2.6.4</t>
  </si>
  <si>
    <t>Exhibit 2.6.5</t>
  </si>
  <si>
    <t>Exhibit 2.6.6</t>
  </si>
  <si>
    <t>Exhibit 2.6.7</t>
  </si>
  <si>
    <t>Exhibit 2.6.8</t>
  </si>
  <si>
    <t>Historical wage changes through 2018 are based on Bureau of Labor Statistics data. Forecasts for 2019 and forward are based on the average of wage level projections made by the UCLA Anderson School of Business as of March 2020 and those made by the California Department of Finance as of April 2020.</t>
  </si>
  <si>
    <t>11/1/2021</t>
  </si>
  <si>
    <t>Each factor is the product of [1.0 + the impact of adjustment for changes in claim settlement rates (Item P)]</t>
  </si>
  <si>
    <t>and [the paid indemnity age-to-age development factor from Exhibit 2.5.1].</t>
  </si>
  <si>
    <r>
      <t xml:space="preserve">Paid Loss </t>
    </r>
    <r>
      <rPr>
        <u/>
        <sz val="10"/>
        <rFont val="Arial"/>
        <family val="2"/>
      </rPr>
      <t>Ratio (a)</t>
    </r>
  </si>
  <si>
    <t>Paid</t>
  </si>
  <si>
    <t>As of PY 2017 1st Set &amp; June 2020 UCLA</t>
  </si>
  <si>
    <t>per $M Exposure at PY 2018 Level</t>
  </si>
  <si>
    <t>Economic variables are historical through 2019; June 2020 UCLA Anderson Forecasts for 2020 on.</t>
  </si>
  <si>
    <t>*AY 2018 change is based on a comparison of 2018 accidents on 2017 policies to 2017 accidents on 2016 policies.</t>
  </si>
  <si>
    <t xml:space="preserve">Based on calculations shown on Exhibits 2.5.3 to 2.5.8. Each of these selections is calculated as the latest year paid indemnity age-to-age factor multiplied by an adjustment for </t>
  </si>
  <si>
    <t>changes in claim settlement rates.</t>
  </si>
  <si>
    <t>The average wage change for 2020 was judgmentally decreased by 0.8% to reflect the</t>
  </si>
  <si>
    <t>estimated difference between growth in median wages and average wages during a recession.</t>
  </si>
  <si>
    <t>(2) x (4)</t>
  </si>
  <si>
    <t>(1) + ((5) - (2))</t>
  </si>
  <si>
    <t>for Impact of SB 1160(e)</t>
  </si>
  <si>
    <t>Unadjusted (c)</t>
  </si>
  <si>
    <t>Selected (f)</t>
  </si>
  <si>
    <r>
      <rPr>
        <sz val="10"/>
        <rFont val="Arial"/>
        <family val="2"/>
      </rPr>
      <t xml:space="preserve">    </t>
    </r>
    <r>
      <rPr>
        <u/>
        <sz val="10"/>
        <rFont val="Arial"/>
        <family val="2"/>
      </rPr>
      <t>Indemnity Claim Settlement Rates (k)</t>
    </r>
  </si>
  <si>
    <t>Q. Paid Indemnity Loss Development Factors Adjusted for Changes in</t>
  </si>
  <si>
    <r>
      <rPr>
        <sz val="10"/>
        <rFont val="Arial"/>
        <family val="2"/>
      </rPr>
      <t xml:space="preserve">     </t>
    </r>
    <r>
      <rPr>
        <u/>
        <sz val="10"/>
        <rFont val="Arial"/>
        <family val="2"/>
      </rPr>
      <t>Claim Settlement Rates</t>
    </r>
    <r>
      <rPr>
        <sz val="10"/>
        <rFont val="Arial"/>
        <family val="2"/>
      </rPr>
      <t xml:space="preserve"> (k)</t>
    </r>
  </si>
  <si>
    <t>R. Paid Medical Loss Development Factors Adjusted for Changes in Indemnity</t>
  </si>
  <si>
    <t>LAE</t>
  </si>
  <si>
    <t>9.</t>
  </si>
  <si>
    <t>8.</t>
  </si>
  <si>
    <t>Exhibit 2.5.9</t>
  </si>
  <si>
    <t>Exhibit 2.5.10</t>
  </si>
  <si>
    <t>Exhibit 2.5.11</t>
  </si>
  <si>
    <t>3-Year Historical Avg.</t>
  </si>
  <si>
    <t>Exhibit 2.5.12</t>
  </si>
  <si>
    <t>Ratio of closed indemnity claim counts (Item 1) to the estimated ultimate indemnity claim counts (Item 2) for that accident year.</t>
  </si>
  <si>
    <t>Paid Loss Development Factors</t>
  </si>
  <si>
    <t>Adjusted for the Impact of Claim Settlement Rate</t>
  </si>
  <si>
    <t>Changes on Later Period Development</t>
  </si>
  <si>
    <t>Based on the latest year age-to-age development in indemnity claim counts. See Exhibit 2.5.3.</t>
  </si>
  <si>
    <t>2.  Ult. Claim Counts (a)</t>
  </si>
  <si>
    <t>3. Ultimate Indemnity Claim Settlement Ratio (b)</t>
  </si>
  <si>
    <t>4. Ratio of Incremental Closed Indemnity Claims to Estimated Prior Open Indemnity Claims (c)</t>
  </si>
  <si>
    <t>Share of Open on Prior (d)</t>
  </si>
  <si>
    <t>Equal to 1.0 minus the selected ratio of incremental closed indemnity claims to prior open indemnity claims from Item 4.</t>
  </si>
  <si>
    <t>Equal to [the difference in ultimate indemnity claim settlement ratios from the prior evaluation (Item 3)] divided by</t>
  </si>
  <si>
    <t>[1.0 less the ultimate indemnity claim settlement ratio from the prior evaluation].</t>
  </si>
  <si>
    <t>1.  Reported Closed Indemnity Claim Counts</t>
  </si>
  <si>
    <t>5.  Projected Open + IBNR Indemnity Claim Counts (e)</t>
  </si>
  <si>
    <t>…</t>
  </si>
  <si>
    <t>Equal to the Projected Open + IBNR Indemnity Claim Counts (Item 5) divided by the Ultimate Indemnity Claim Counts (Item 2).</t>
  </si>
  <si>
    <t>The italicized diagonals are based on historical data while the remaining figures are projections.</t>
  </si>
  <si>
    <t>Equal to the Ratio of Projected Open Claim Counts to Ultimate Claim Counts (Item 6) divided by the three-year historical average.</t>
  </si>
  <si>
    <t>6. Ratio of Projected Open Claim Counts to Ultimate Claim Counts (f)</t>
  </si>
  <si>
    <t>7. Ratio of Projected Percent Open to Historical Percent Open (g)</t>
  </si>
  <si>
    <t>9.  Adjustment Ratio (i)</t>
  </si>
  <si>
    <t>Age-to-Age Paid Development (in months):</t>
  </si>
  <si>
    <t>Indemnity development factors are from Exhibit 2.3.2. Medical development factors are from Exhibit 2.4.2 and include</t>
  </si>
  <si>
    <t>adjustments for SB 1160 and changes in pharmaceutical costs.</t>
  </si>
  <si>
    <t>Equal to the Ratio of Projected Percent Open to Historical Percent Open (Item 7) for the given accident year, with the</t>
  </si>
  <si>
    <t>difference from 1.0 adjusted by 40% to reflect the estimated impact of claim settlement rate changes on later period development.</t>
  </si>
  <si>
    <t>Equal to the [three year average factors (Item 8) - 1.0] multiplied by the Adjustment Ratio (Item 9), and adding 1.0.</t>
  </si>
  <si>
    <t>10.  Adjusted Factors (j)</t>
  </si>
  <si>
    <t>8.  3-Year Average (h)</t>
  </si>
  <si>
    <t>Adjusted for the impact of changes in claim settlement rates on later period development. See Exhibits 2.5.9 through 2.5.12.</t>
  </si>
  <si>
    <t>Adjusted (a)(b)</t>
  </si>
  <si>
    <t>Based on Exhibit 1.</t>
  </si>
  <si>
    <t>Based on Exhibit 1. Paid MCCP costs are excluded from accident years 2011 and subsequent.</t>
  </si>
  <si>
    <t>Cumulative (c)</t>
  </si>
  <si>
    <t>Accident Year Indemnity Claim Frequency Model</t>
  </si>
  <si>
    <t xml:space="preserve">    (a) Estimated ultimate severities for all accident years are derived by dividing ultimate medical 
         losses on indemnity claims by ultimate indemnity claim counts.  The estimated ultimate 
         medical severities were derived from the projected ultimate loss ratios shown in Exhibit 3.2, 
         column (6).
</t>
  </si>
  <si>
    <t>Indicated Loss to Industry Average Filed Pure Premium Ratios and Average Pure Premium Rate</t>
  </si>
  <si>
    <t>Indicated Total Loss and Loss Adjustment Expense to Industry Average Filed Pure Premium Ratio Prior to the Impact of COVID-19 Claims
(1) x (2)</t>
  </si>
  <si>
    <t>Impact of COVID-19 Claims on January 1, 2021 to August 31, 2021 Policies
(See Appendix D)</t>
  </si>
  <si>
    <t>Indicated Total Loss and Loss Adjustment Expense to Industry Average Filed Pure Premium Ratio After Reflecting Impact of COVID-19 Claims
(3) x [1.0 + (4)]</t>
  </si>
  <si>
    <t>The italicized diagonal is equal to the Ultimate Indemnity Claim Counts (Item 2) less the Reported Closed Indemnity</t>
  </si>
  <si>
    <t>Claim Counts (Item 1) as of the latest evaluation. The remaining figures are projected based on the italicized diagonal and</t>
  </si>
  <si>
    <t>the Share of Open on Prior from Item 4.</t>
  </si>
  <si>
    <t>27/15</t>
  </si>
  <si>
    <t>39/27</t>
  </si>
  <si>
    <t>51/39</t>
  </si>
  <si>
    <t>63/51</t>
  </si>
  <si>
    <t>75/63</t>
  </si>
  <si>
    <t>87/75</t>
  </si>
  <si>
    <t>99/87</t>
  </si>
  <si>
    <t>111/99</t>
  </si>
  <si>
    <t>123/111</t>
  </si>
  <si>
    <t>135/123</t>
  </si>
  <si>
    <t>147/135</t>
  </si>
  <si>
    <t>159/147</t>
  </si>
  <si>
    <t>171/159</t>
  </si>
  <si>
    <t>183/171</t>
  </si>
  <si>
    <t>195/183</t>
  </si>
  <si>
    <t>207/195</t>
  </si>
  <si>
    <t>219/207</t>
  </si>
  <si>
    <t>231/219</t>
  </si>
  <si>
    <t>243/231</t>
  </si>
  <si>
    <t>255/243</t>
  </si>
  <si>
    <t>267/255</t>
  </si>
  <si>
    <t>279/267</t>
  </si>
  <si>
    <t>291/279</t>
  </si>
  <si>
    <t>303/291</t>
  </si>
  <si>
    <t>315/303</t>
  </si>
  <si>
    <t>327/315</t>
  </si>
  <si>
    <t>339/327</t>
  </si>
  <si>
    <t>351/339</t>
  </si>
  <si>
    <t>363/351</t>
  </si>
  <si>
    <t>375/363</t>
  </si>
  <si>
    <t>387/375</t>
  </si>
  <si>
    <t>399/387</t>
  </si>
  <si>
    <t>411/399</t>
  </si>
  <si>
    <t>423/411</t>
  </si>
  <si>
    <t>ULT/423Pd (e)</t>
  </si>
  <si>
    <t>ULT/423Pd (d)</t>
  </si>
  <si>
    <t>Accident Year Experience as of March 31, 2020</t>
  </si>
  <si>
    <t>ULT/423Inc (b)</t>
  </si>
  <si>
    <t>ULT/423Inc (c)</t>
  </si>
  <si>
    <t>ULT/423Pd (b)</t>
  </si>
  <si>
    <t>ULT/423Pd (g)</t>
  </si>
  <si>
    <t>15-27</t>
  </si>
  <si>
    <t>27-39</t>
  </si>
  <si>
    <t>39-51</t>
  </si>
  <si>
    <t>51-63</t>
  </si>
  <si>
    <t>63-75</t>
  </si>
  <si>
    <t>Based on Experience as of March 31, 2020</t>
  </si>
  <si>
    <t>(Annual 0.4)</t>
  </si>
  <si>
    <t>(Annual 2.2)</t>
  </si>
  <si>
    <t>PDRS Adjustment</t>
  </si>
  <si>
    <t>w/ PDRS</t>
  </si>
  <si>
    <t>w/o PDRS</t>
  </si>
  <si>
    <t>Reform Adj - w/ Freq</t>
  </si>
  <si>
    <t>Reform Adj - w/o Freq</t>
  </si>
  <si>
    <t>PDRS weights</t>
  </si>
  <si>
    <t>(Annual 0.0%)</t>
  </si>
  <si>
    <t>(Annual 3.7%)</t>
  </si>
  <si>
    <t>(Annual = 3.8)</t>
  </si>
  <si>
    <t xml:space="preserve">Reflects (1) advisory pure premium rate level changes to bring premium to the advisory January 1, 2020 pure premium rate level and </t>
  </si>
  <si>
    <t>(2) an additional adjustment factor, which is the ratio of the average advisory January 1, 2020 pure premium rate ($1.52) to the industry</t>
  </si>
  <si>
    <t>average filed pure premium rate as of July 1, 2020 ($1.80).</t>
  </si>
  <si>
    <t>rate level as of July 1, 2020.</t>
  </si>
  <si>
    <t>July 1, 2020 (c)</t>
  </si>
  <si>
    <t>July 1, 2020 (d)</t>
  </si>
  <si>
    <t>January 1, 2020</t>
  </si>
  <si>
    <t>For Policies with Effective Dates between January 1, 2021 and August 31, 2021</t>
  </si>
  <si>
    <t>Difference in Off-Balance Factor
(See Section C, Appendix B of the WCIRB's January 1, 2021 Regulatory Filing)</t>
  </si>
  <si>
    <t>Indicated Difference from Industry Average Filed Pure Premium Rate per 
$100 of Payroll as of July 1, 2020
[(5) x [(6) + 1.0] - 1.0]</t>
  </si>
  <si>
    <t>Industry Average Filed Pure Premium Rate per $100 of Payroll as of 
July 1, 2020</t>
  </si>
  <si>
    <t>Indicated Average Pure Premium Rate per $100 of Payroll for Policies with Effective Dates between January 1, 2021 and August 31, 2021
(8) x [1.0 + (7)]</t>
  </si>
  <si>
    <t>These on-level ratios were projected based on an estimated annual indemnity severity trend from Exhibit 6.2, the actual frequency trend for accident year 2019 from Appendix B, Exhibit 1, and projected frequency trends for accident years 2020 through 2022 from Exhibit 6.1; these trends were then separately applied to the 2018 and 2019 on-level ratios.</t>
  </si>
  <si>
    <t>Trend Based on 1990 to 2019:</t>
  </si>
  <si>
    <t>These factors represent the combined impact of the annual benefit changes on claim severity shown in Column (1), claim frequencies shown in Column (2) and wage inflation impact on benefits shown in Column (3), adjusted to the 2020 level.</t>
  </si>
  <si>
    <t>Based on experience evaluated as of March 31, 2020. Reflects an adjustment for the pharmaceutical cost reductions to restate the historical medical paid-to-date ratios at a 2018 pharmaceutical cost level.</t>
  </si>
  <si>
    <t xml:space="preserve">The ULT/423Pd tail factor was calculated based on an inverse power curve fit to a four-year average of the 111-to-123 through 339-to-351 factors </t>
  </si>
  <si>
    <t>and extrapolated to 80 development years.</t>
  </si>
  <si>
    <t>Selections are latest year for the 15-to-27 month through 99-to-111 month factors and three-year average for the subsequent paid age-to-age factors.</t>
  </si>
  <si>
    <t>The cumulative factors for 39, 51, 63, and 75 months are adjusted by -3.7%, -2.5%, -1.5%, and -0.7%, respectively, for the impact of the SB 1160 reductions in future lien filings.</t>
  </si>
  <si>
    <t>Factors as noted in footnote (f):</t>
  </si>
  <si>
    <t>SB 1160</t>
  </si>
  <si>
    <t>Factors as noted in footnote (d):</t>
  </si>
  <si>
    <t>255-267</t>
  </si>
  <si>
    <t>Selections are latest year for the 15-to-27 month through 99-to-111 month factors and six-year average for the subsequent age-to-age factors.</t>
  </si>
  <si>
    <t>The ULT/423Inc tail factor was calculated based on an inverse power curve fit to a six-year average of the 111-to-123 through 339-to-351 factors, excluding the 2016, 2017, and 2018 evaluations, and extrapolated to 80 development years.</t>
  </si>
  <si>
    <t>Selections are latest year for the 15-to-27 month through 99-to-111 month factors and three-year average for the subsequent age-to-age factors.</t>
  </si>
  <si>
    <t xml:space="preserve">The ULT/423Pd tail factor was calculated based on an inverse power curve fit to a four-year average of the 111-to-123 through 339-to-351 factors and extrapolated </t>
  </si>
  <si>
    <t>to 80 development years.</t>
  </si>
  <si>
    <t xml:space="preserve">These factors are adjusted for the losses paid prior to July 1, 2017 by -3.6%, -3.8%, -3.4%, -2.4%, -0.9%, and -0.1% to accident years 2011 to 2016, respectively, for the </t>
  </si>
  <si>
    <t>SB 1160 lien reforms. Factors are also adjusted for the impact of pharmaceutical cost reductions to bring the historical payments to the current pharmaceutical cost level.</t>
  </si>
  <si>
    <t xml:space="preserve">The ULT/423Pd tail factor was calculated based on an inverse power curve fit to a four-year average of the 111-to-123 through 339-to-351 adjusted factors and </t>
  </si>
  <si>
    <t>extrapolated to 80 development years.</t>
  </si>
  <si>
    <t>These on-level ratios were projected based on an estimated annual medical severity trend from Exhibit 6.4, the actual frequency trend for accident year 2019 from Appendix B, Exhibit 1, and projected frequency trends for accident years 2020 through 2022 from Exhibit 6.1; these trends were then separately applied to the 2018 and 2019 on-level ratios.</t>
  </si>
  <si>
    <t>ALAE</t>
  </si>
  <si>
    <t>MCCP</t>
  </si>
  <si>
    <t>ULAE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</si>
</sst>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quot;$&quot;#,##0.00_);[Red]\(&quot;$&quot;#,##0.00\)"/>
    <numFmt numFmtId="43" formatCode="_(* #,##0.00_);_(* \(#,##0.00\);_(* &quot;-&quot;??_);_(@_)"/>
    <numFmt numFmtId="164" formatCode="0.000"/>
    <numFmt numFmtId="165" formatCode="#,##0.000"/>
    <numFmt numFmtId="166" formatCode="#,##0.00000"/>
    <numFmt numFmtId="167" formatCode="0.0"/>
    <numFmt numFmtId="168" formatCode="0.0%"/>
    <numFmt numFmtId="169" formatCode="0.0%\ \ \ \ \ \ \ \ "/>
    <numFmt numFmtId="170" formatCode="0.000\ \ \ \ \ \ \ \ "/>
    <numFmt numFmtId="171" formatCode="0.0000"/>
    <numFmt numFmtId="172" formatCode="General\ \ \ \ \ \ \ \ "/>
    <numFmt numFmtId="173" formatCode="#,##0.000000"/>
    <numFmt numFmtId="174" formatCode="_(* #,##0_);_(* \(#,##0\);_(* &quot;-&quot;??_);_(@_)"/>
    <numFmt numFmtId="175" formatCode="_(* #,##0.000_);_(* \(#,##0.000\);_(* &quot;-&quot;??_);_(@_)"/>
  </numFmts>
  <fonts count="24">
    <font>
      <sz val="11"/>
      <color theme="1"/>
      <name val="Calibri"/>
      <family val="2"/>
      <scheme val="minor"/>
    </font>
    <font>
      <sz val="10"/>
      <color theme="1"/>
      <name val="Arial"/>
      <family val="2"/>
    </font>
    <font>
      <sz val="10"/>
      <name val="Arial"/>
      <family val="2"/>
    </font>
    <font>
      <b/>
      <sz val="10"/>
      <name val="Arial"/>
      <family val="2"/>
    </font>
    <font>
      <u/>
      <sz val="10"/>
      <name val="Arial"/>
      <family val="2"/>
    </font>
    <font>
      <sz val="10"/>
      <name val="Univers 55"/>
    </font>
    <font>
      <b/>
      <u/>
      <sz val="10"/>
      <name val="Arial"/>
      <family val="2"/>
    </font>
    <font>
      <i/>
      <sz val="10"/>
      <name val="Arial"/>
      <family val="2"/>
    </font>
    <font>
      <sz val="11"/>
      <color theme="1"/>
      <name val="Calibri"/>
      <family val="2"/>
      <scheme val="minor"/>
    </font>
    <font>
      <sz val="10"/>
      <color rgb="FFFF0000"/>
      <name val="Arial"/>
      <family val="2"/>
    </font>
    <font>
      <sz val="10"/>
      <color rgb="FF00B0F0"/>
      <name val="Arial"/>
      <family val="2"/>
    </font>
    <font>
      <sz val="10"/>
      <color rgb="FF0070C0"/>
      <name val="Arial"/>
      <family val="2"/>
    </font>
    <font>
      <sz val="10"/>
      <color theme="1"/>
      <name val="Arial"/>
      <family val="2"/>
    </font>
    <font>
      <u/>
      <sz val="10"/>
      <color theme="1"/>
      <name val="Arial"/>
      <family val="2"/>
    </font>
    <font>
      <sz val="10"/>
      <name val="Univers 55"/>
      <family val="2"/>
    </font>
    <font>
      <sz val="10"/>
      <color indexed="9"/>
      <name val="Arial"/>
      <family val="2"/>
    </font>
    <font>
      <sz val="11"/>
      <color rgb="FF0070C0"/>
      <name val="Calibri"/>
      <family val="2"/>
      <scheme val="minor"/>
    </font>
    <font>
      <sz val="11"/>
      <name val="Calibri"/>
      <family val="2"/>
      <scheme val="minor"/>
    </font>
    <font>
      <sz val="12"/>
      <name val="Arial"/>
      <family val="2"/>
    </font>
    <font>
      <sz val="9"/>
      <name val="Arial"/>
      <family val="2"/>
    </font>
    <font>
      <b/>
      <sz val="10"/>
      <color rgb="FFFF0000"/>
      <name val="Arial"/>
      <family val="2"/>
    </font>
    <font>
      <sz val="10"/>
      <color rgb="FF00B050"/>
      <name val="Arial"/>
      <family val="2"/>
    </font>
    <font>
      <u/>
      <sz val="10"/>
      <color rgb="FF0070C0"/>
      <name val="Arial"/>
      <family val="2"/>
    </font>
    <font>
      <i/>
      <sz val="10"/>
      <color rgb="FF0070C0"/>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64"/>
      </bottom>
      <diagonal/>
    </border>
    <border>
      <left/>
      <right/>
      <top style="dotted">
        <color indexed="8"/>
      </top>
      <bottom/>
      <diagonal/>
    </border>
    <border>
      <left/>
      <right/>
      <top/>
      <bottom style="dotted">
        <color indexed="8"/>
      </bottom>
      <diagonal/>
    </border>
    <border>
      <left/>
      <right/>
      <top style="dotted">
        <color indexed="8"/>
      </top>
      <bottom style="dotted">
        <color indexed="8"/>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 fillId="0" borderId="0"/>
    <xf numFmtId="0" fontId="5" fillId="0" borderId="0"/>
    <xf numFmtId="0" fontId="2" fillId="0" borderId="0"/>
    <xf numFmtId="9" fontId="8"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2" fillId="0" borderId="0" applyFont="0" applyFill="0" applyBorder="0" applyAlignment="0" applyProtection="0"/>
    <xf numFmtId="0" fontId="14" fillId="0" borderId="0"/>
  </cellStyleXfs>
  <cellXfs count="564">
    <xf numFmtId="0" fontId="0" fillId="0" borderId="0" xfId="0"/>
    <xf numFmtId="0" fontId="2" fillId="0" borderId="0" xfId="1" applyFont="1" applyFill="1" applyAlignment="1">
      <alignment horizontal="center"/>
    </xf>
    <xf numFmtId="164" fontId="9" fillId="0" borderId="0" xfId="1" applyNumberFormat="1" applyFont="1" applyFill="1" applyAlignment="1">
      <alignment horizontal="center"/>
    </xf>
    <xf numFmtId="0" fontId="2" fillId="0" borderId="0" xfId="1" applyFont="1" applyFill="1" applyAlignment="1">
      <alignment horizontal="right"/>
    </xf>
    <xf numFmtId="0" fontId="4" fillId="0" borderId="0" xfId="1" applyFont="1" applyFill="1" applyAlignment="1">
      <alignment horizontal="right"/>
    </xf>
    <xf numFmtId="3" fontId="2" fillId="0" borderId="0" xfId="1" applyNumberFormat="1" applyFont="1"/>
    <xf numFmtId="1" fontId="2" fillId="0" borderId="0" xfId="1" applyNumberFormat="1" applyFont="1"/>
    <xf numFmtId="3" fontId="2" fillId="0" borderId="0" xfId="1" applyNumberFormat="1" applyFont="1" applyAlignment="1">
      <alignment horizontal="center"/>
    </xf>
    <xf numFmtId="164" fontId="2" fillId="0" borderId="0" xfId="1" applyNumberFormat="1" applyFont="1" applyAlignment="1">
      <alignment horizontal="center"/>
    </xf>
    <xf numFmtId="0" fontId="2" fillId="0" borderId="0" xfId="1" applyFont="1" applyAlignment="1">
      <alignment horizontal="right" vertical="top"/>
    </xf>
    <xf numFmtId="0" fontId="2" fillId="0" borderId="0" xfId="0" applyFont="1"/>
    <xf numFmtId="0" fontId="4" fillId="0" borderId="0" xfId="1" applyFont="1" applyAlignment="1">
      <alignment horizontal="center"/>
    </xf>
    <xf numFmtId="0" fontId="2" fillId="0" borderId="0" xfId="1" applyFont="1" applyAlignment="1">
      <alignment horizontal="center"/>
    </xf>
    <xf numFmtId="165" fontId="2" fillId="0" borderId="0" xfId="1" applyNumberFormat="1" applyFont="1" applyAlignment="1">
      <alignment horizontal="center"/>
    </xf>
    <xf numFmtId="0" fontId="2" fillId="0" borderId="0" xfId="1" applyFont="1" applyAlignment="1">
      <alignment horizontal="left"/>
    </xf>
    <xf numFmtId="0" fontId="2" fillId="0" borderId="0" xfId="1" applyFont="1" applyAlignment="1">
      <alignment horizontal="right"/>
    </xf>
    <xf numFmtId="165" fontId="2" fillId="0" borderId="0" xfId="1" applyNumberFormat="1" applyFont="1" applyFill="1" applyAlignment="1">
      <alignment horizontal="center"/>
    </xf>
    <xf numFmtId="0" fontId="2" fillId="0" borderId="0" xfId="1" applyFont="1" applyFill="1"/>
    <xf numFmtId="0" fontId="4" fillId="0" borderId="0" xfId="1" applyFont="1" applyFill="1" applyAlignment="1">
      <alignment horizontal="left"/>
    </xf>
    <xf numFmtId="0" fontId="4" fillId="0" borderId="0" xfId="1" applyFont="1" applyFill="1" applyAlignment="1">
      <alignment horizontal="center"/>
    </xf>
    <xf numFmtId="0" fontId="2" fillId="0" borderId="0" xfId="1" quotePrefix="1" applyFont="1" applyFill="1" applyAlignment="1">
      <alignment horizontal="right" vertical="top"/>
    </xf>
    <xf numFmtId="165" fontId="11" fillId="0" borderId="0" xfId="1" applyNumberFormat="1" applyFont="1" applyFill="1" applyAlignment="1">
      <alignment horizontal="center"/>
    </xf>
    <xf numFmtId="0" fontId="2" fillId="0" borderId="0" xfId="1" applyFont="1" applyFill="1" applyAlignment="1">
      <alignment horizontal="left"/>
    </xf>
    <xf numFmtId="165" fontId="2" fillId="0" borderId="0" xfId="1" applyNumberFormat="1" applyFont="1" applyFill="1"/>
    <xf numFmtId="0" fontId="2" fillId="0" borderId="0" xfId="1" applyFont="1" applyFill="1" applyAlignment="1">
      <alignment horizontal="right" vertical="top"/>
    </xf>
    <xf numFmtId="0" fontId="2" fillId="0" borderId="0" xfId="0" applyFont="1" applyAlignment="1">
      <alignment horizontal="centerContinuous"/>
    </xf>
    <xf numFmtId="0" fontId="4" fillId="0" borderId="0" xfId="0" applyFont="1" applyAlignment="1">
      <alignment horizontal="center"/>
    </xf>
    <xf numFmtId="0" fontId="2" fillId="0" borderId="0" xfId="0" quotePrefix="1" applyFont="1" applyAlignment="1">
      <alignment horizontal="center"/>
    </xf>
    <xf numFmtId="1" fontId="2" fillId="0" borderId="0" xfId="0" applyNumberFormat="1" applyFont="1" applyFill="1" applyAlignment="1">
      <alignment horizontal="center"/>
    </xf>
    <xf numFmtId="164" fontId="2" fillId="0" borderId="0" xfId="0" applyNumberFormat="1" applyFont="1" applyFill="1" applyAlignment="1">
      <alignment horizontal="center"/>
    </xf>
    <xf numFmtId="164" fontId="2" fillId="0" borderId="0" xfId="0" applyNumberFormat="1" applyFont="1" applyAlignment="1">
      <alignment horizontal="center"/>
    </xf>
    <xf numFmtId="0" fontId="2" fillId="0" borderId="0" xfId="0" applyFont="1" applyAlignment="1">
      <alignment horizontal="center" vertical="top"/>
    </xf>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right"/>
    </xf>
    <xf numFmtId="0" fontId="2" fillId="0" borderId="0" xfId="0" applyFont="1" applyAlignment="1">
      <alignment vertical="top"/>
    </xf>
    <xf numFmtId="164" fontId="2" fillId="0" borderId="1" xfId="0" applyNumberFormat="1" applyFont="1" applyFill="1" applyBorder="1" applyAlignment="1">
      <alignment horizontal="center"/>
    </xf>
    <xf numFmtId="0" fontId="2" fillId="0" borderId="0" xfId="0" applyFont="1" applyFill="1" applyAlignment="1">
      <alignment horizontal="centerContinuous"/>
    </xf>
    <xf numFmtId="0" fontId="2" fillId="0" borderId="0" xfId="0" applyFont="1" applyFill="1" applyAlignment="1">
      <alignment horizontal="center"/>
    </xf>
    <xf numFmtId="0" fontId="2" fillId="0" borderId="0" xfId="0" quotePrefix="1" applyFont="1" applyFill="1" applyAlignment="1">
      <alignment horizontal="center"/>
    </xf>
    <xf numFmtId="0" fontId="4" fillId="0" borderId="0" xfId="0" applyFont="1" applyFill="1" applyAlignment="1">
      <alignment horizontal="center"/>
    </xf>
    <xf numFmtId="0" fontId="2" fillId="0" borderId="0" xfId="0" applyFont="1" applyFill="1" applyAlignment="1">
      <alignment horizontal="center" vertical="top"/>
    </xf>
    <xf numFmtId="10" fontId="2" fillId="0" borderId="0" xfId="5" applyNumberFormat="1" applyFont="1" applyFill="1" applyAlignment="1">
      <alignment horizontal="right"/>
    </xf>
    <xf numFmtId="0" fontId="2" fillId="0" borderId="0" xfId="0" applyFont="1" applyFill="1"/>
    <xf numFmtId="164" fontId="2" fillId="0" borderId="0" xfId="0" quotePrefix="1" applyNumberFormat="1" applyFont="1" applyAlignment="1">
      <alignment horizontal="center"/>
    </xf>
    <xf numFmtId="164" fontId="4" fillId="0" borderId="0" xfId="0" applyNumberFormat="1" applyFont="1" applyAlignment="1">
      <alignment horizontal="center"/>
    </xf>
    <xf numFmtId="167" fontId="2" fillId="0" borderId="0" xfId="0" applyNumberFormat="1" applyFont="1" applyAlignment="1">
      <alignment horizontal="right"/>
    </xf>
    <xf numFmtId="167" fontId="2" fillId="0" borderId="0" xfId="0" applyNumberFormat="1" applyFont="1" applyAlignment="1">
      <alignment horizontal="center"/>
    </xf>
    <xf numFmtId="0" fontId="2" fillId="0" borderId="0" xfId="0" applyFont="1" applyAlignment="1">
      <alignment horizontal="left"/>
    </xf>
    <xf numFmtId="168" fontId="2" fillId="0" borderId="0" xfId="0" applyNumberFormat="1" applyFont="1"/>
    <xf numFmtId="0" fontId="2" fillId="0" borderId="0" xfId="0" applyFont="1" applyAlignment="1">
      <alignment horizontal="left" vertical="top"/>
    </xf>
    <xf numFmtId="0" fontId="11" fillId="0" borderId="0" xfId="0" applyFont="1" applyAlignment="1">
      <alignment horizontal="center"/>
    </xf>
    <xf numFmtId="0" fontId="2" fillId="0" borderId="0" xfId="0" applyFont="1" applyFill="1" applyAlignment="1"/>
    <xf numFmtId="164" fontId="2" fillId="0" borderId="0" xfId="0" applyNumberFormat="1" applyFont="1"/>
    <xf numFmtId="0" fontId="2" fillId="0" borderId="0" xfId="0" quotePrefix="1" applyFont="1" applyAlignment="1">
      <alignment horizontal="right"/>
    </xf>
    <xf numFmtId="0" fontId="2" fillId="0" borderId="0" xfId="0" applyFont="1" applyAlignment="1">
      <alignment horizontal="right"/>
    </xf>
    <xf numFmtId="164" fontId="2" fillId="0" borderId="0" xfId="0" applyNumberFormat="1" applyFont="1" applyFill="1"/>
    <xf numFmtId="14" fontId="2" fillId="0" borderId="0" xfId="0" applyNumberFormat="1" applyFont="1" applyFill="1" applyAlignment="1">
      <alignment horizontal="center"/>
    </xf>
    <xf numFmtId="0" fontId="2" fillId="0" borderId="0" xfId="0" applyFont="1" applyFill="1" applyAlignment="1">
      <alignment horizontal="right" vertical="top"/>
    </xf>
    <xf numFmtId="0" fontId="2" fillId="0" borderId="0" xfId="0" quotePrefix="1" applyFont="1" applyFill="1" applyAlignment="1">
      <alignment horizontal="right" vertical="top"/>
    </xf>
    <xf numFmtId="0" fontId="2" fillId="0" borderId="0" xfId="0" applyFont="1" applyBorder="1" applyAlignment="1">
      <alignment horizontal="center"/>
    </xf>
    <xf numFmtId="0" fontId="4" fillId="0" borderId="0" xfId="0" applyFont="1" applyBorder="1" applyAlignment="1">
      <alignment horizontal="center"/>
    </xf>
    <xf numFmtId="0" fontId="2" fillId="0" borderId="0" xfId="0" applyFont="1" applyBorder="1" applyAlignment="1"/>
    <xf numFmtId="0" fontId="2" fillId="0" borderId="0" xfId="0" applyFont="1" applyAlignment="1">
      <alignment horizontal="center" vertical="center"/>
    </xf>
    <xf numFmtId="2" fontId="10" fillId="0" borderId="0" xfId="0" applyNumberFormat="1" applyFont="1" applyAlignment="1">
      <alignment horizontal="center" vertical="center"/>
    </xf>
    <xf numFmtId="0" fontId="4" fillId="0" borderId="0" xfId="0" applyFont="1"/>
    <xf numFmtId="167" fontId="4" fillId="0" borderId="0" xfId="0" applyNumberFormat="1" applyFont="1" applyAlignment="1">
      <alignment horizontal="center"/>
    </xf>
    <xf numFmtId="167" fontId="2" fillId="0" borderId="0" xfId="0" applyNumberFormat="1" applyFont="1"/>
    <xf numFmtId="2" fontId="2" fillId="0" borderId="0" xfId="0" applyNumberFormat="1" applyFont="1"/>
    <xf numFmtId="0" fontId="10" fillId="0" borderId="0" xfId="0" applyFont="1" applyAlignment="1">
      <alignment horizontal="center"/>
    </xf>
    <xf numFmtId="15" fontId="4" fillId="0" borderId="0" xfId="0" applyNumberFormat="1" applyFont="1" applyAlignment="1">
      <alignment horizontal="center"/>
    </xf>
    <xf numFmtId="164" fontId="2" fillId="0" borderId="0" xfId="0" applyNumberFormat="1" applyFont="1" applyAlignment="1">
      <alignment horizontal="center" vertical="center"/>
    </xf>
    <xf numFmtId="164" fontId="2" fillId="0" borderId="0" xfId="0" applyNumberFormat="1" applyFont="1" applyAlignment="1">
      <alignment vertical="center"/>
    </xf>
    <xf numFmtId="2" fontId="2" fillId="0" borderId="0" xfId="0" applyNumberFormat="1" applyFont="1" applyFill="1" applyAlignment="1"/>
    <xf numFmtId="3" fontId="2" fillId="0" borderId="0" xfId="0" applyNumberFormat="1" applyFont="1"/>
    <xf numFmtId="3" fontId="2" fillId="0" borderId="0" xfId="0" applyNumberFormat="1" applyFont="1" applyAlignment="1">
      <alignment horizontal="center"/>
    </xf>
    <xf numFmtId="168" fontId="2" fillId="0" borderId="0" xfId="0" quotePrefix="1" applyNumberFormat="1" applyFont="1" applyAlignment="1">
      <alignment horizontal="right"/>
    </xf>
    <xf numFmtId="168" fontId="2" fillId="0" borderId="0" xfId="0" applyNumberFormat="1" applyFont="1" applyFill="1"/>
    <xf numFmtId="0" fontId="4" fillId="0" borderId="0" xfId="0" applyFont="1" applyAlignment="1">
      <alignment horizontal="right"/>
    </xf>
    <xf numFmtId="0" fontId="2" fillId="0" borderId="1" xfId="0" applyFont="1" applyBorder="1"/>
    <xf numFmtId="3" fontId="2" fillId="0" borderId="1" xfId="0" applyNumberFormat="1" applyFont="1" applyBorder="1"/>
    <xf numFmtId="168" fontId="2" fillId="0" borderId="1" xfId="0" applyNumberFormat="1" applyFont="1" applyBorder="1"/>
    <xf numFmtId="0" fontId="2" fillId="0" borderId="0" xfId="3" applyFont="1"/>
    <xf numFmtId="0" fontId="2" fillId="0" borderId="0" xfId="3" quotePrefix="1" applyFont="1" applyAlignment="1">
      <alignment horizontal="center"/>
    </xf>
    <xf numFmtId="0" fontId="2" fillId="0" borderId="0" xfId="3" quotePrefix="1" applyFont="1" applyBorder="1" applyAlignment="1">
      <alignment horizontal="center"/>
    </xf>
    <xf numFmtId="0" fontId="2" fillId="0" borderId="0" xfId="3" applyFont="1" applyAlignment="1">
      <alignment horizontal="right"/>
    </xf>
    <xf numFmtId="0" fontId="4" fillId="0" borderId="0" xfId="3" applyFont="1" applyAlignment="1">
      <alignment horizontal="center"/>
    </xf>
    <xf numFmtId="3" fontId="2" fillId="0" borderId="0" xfId="3" applyNumberFormat="1" applyFont="1"/>
    <xf numFmtId="168" fontId="2" fillId="0" borderId="0" xfId="3" quotePrefix="1" applyNumberFormat="1" applyFont="1" applyAlignment="1">
      <alignment horizontal="right"/>
    </xf>
    <xf numFmtId="168" fontId="2" fillId="0" borderId="0" xfId="3" applyNumberFormat="1" applyFont="1"/>
    <xf numFmtId="3" fontId="2" fillId="0" borderId="0" xfId="3" applyNumberFormat="1" applyFont="1" applyBorder="1"/>
    <xf numFmtId="168" fontId="2" fillId="0" borderId="0" xfId="3" applyNumberFormat="1" applyFont="1" applyBorder="1"/>
    <xf numFmtId="0" fontId="2" fillId="0" borderId="0" xfId="3" applyFont="1" applyFill="1"/>
    <xf numFmtId="168" fontId="2" fillId="0" borderId="0" xfId="3" applyNumberFormat="1" applyFont="1" applyFill="1"/>
    <xf numFmtId="0" fontId="2" fillId="0" borderId="0" xfId="0" applyFont="1" applyAlignment="1" applyProtection="1">
      <alignment horizontal="right"/>
      <protection locked="0" hidden="1"/>
    </xf>
    <xf numFmtId="0" fontId="2" fillId="0" borderId="0" xfId="0" applyFont="1" applyAlignment="1" applyProtection="1">
      <protection locked="0" hidden="1"/>
    </xf>
    <xf numFmtId="0" fontId="4" fillId="0" borderId="0" xfId="0" applyFont="1" applyAlignment="1" applyProtection="1">
      <alignment horizontal="center"/>
      <protection locked="0" hidden="1"/>
    </xf>
    <xf numFmtId="164" fontId="2" fillId="0" borderId="0" xfId="0" quotePrefix="1" applyNumberFormat="1" applyFont="1" applyAlignment="1" applyProtection="1">
      <alignment horizontal="center"/>
      <protection locked="0" hidden="1"/>
    </xf>
    <xf numFmtId="0" fontId="2" fillId="0" borderId="0" xfId="0" applyFont="1" applyAlignment="1" applyProtection="1">
      <alignment horizontal="center"/>
      <protection locked="0" hidden="1"/>
    </xf>
    <xf numFmtId="0" fontId="2" fillId="0" borderId="0" xfId="0" quotePrefix="1" applyFont="1" applyAlignment="1" applyProtection="1">
      <alignment horizontal="right" vertical="top"/>
      <protection locked="0" hidden="1"/>
    </xf>
    <xf numFmtId="164" fontId="2" fillId="0" borderId="0" xfId="0" applyNumberFormat="1" applyFont="1" applyAlignment="1" applyProtection="1">
      <alignment horizontal="center" vertical="top"/>
      <protection locked="0" hidden="1"/>
    </xf>
    <xf numFmtId="0" fontId="2" fillId="0" borderId="0" xfId="0" applyFont="1" applyProtection="1">
      <protection locked="0" hidden="1"/>
    </xf>
    <xf numFmtId="0" fontId="2" fillId="0" borderId="0" xfId="0" quotePrefix="1" applyFont="1" applyAlignment="1" applyProtection="1">
      <alignment horizontal="right"/>
      <protection locked="0" hidden="1"/>
    </xf>
    <xf numFmtId="164" fontId="2" fillId="0" borderId="0" xfId="0" applyNumberFormat="1" applyFont="1" applyAlignment="1" applyProtection="1">
      <alignment horizontal="center"/>
      <protection locked="0" hidden="1"/>
    </xf>
    <xf numFmtId="164" fontId="2" fillId="0" borderId="0" xfId="0" applyNumberFormat="1" applyFont="1" applyAlignment="1" applyProtection="1">
      <alignment horizontal="center" vertical="top" wrapText="1"/>
      <protection locked="0" hidden="1"/>
    </xf>
    <xf numFmtId="8" fontId="2" fillId="0" borderId="0" xfId="0" applyNumberFormat="1" applyFont="1" applyAlignment="1" applyProtection="1">
      <alignment horizontal="center" vertical="top"/>
      <protection locked="0" hidden="1"/>
    </xf>
    <xf numFmtId="164" fontId="2" fillId="0" borderId="0" xfId="1" applyNumberFormat="1" applyFont="1" applyFill="1" applyAlignment="1">
      <alignment horizontal="center"/>
    </xf>
    <xf numFmtId="164" fontId="4" fillId="0" borderId="0" xfId="1" applyNumberFormat="1" applyFont="1" applyFill="1" applyAlignment="1">
      <alignment horizontal="center"/>
    </xf>
    <xf numFmtId="164" fontId="2" fillId="0" borderId="1" xfId="1" applyNumberFormat="1" applyFont="1" applyBorder="1" applyAlignment="1">
      <alignment horizontal="center"/>
    </xf>
    <xf numFmtId="0" fontId="12" fillId="0" borderId="0" xfId="0" applyFont="1"/>
    <xf numFmtId="0" fontId="13" fillId="0" borderId="0" xfId="0" applyFont="1" applyBorder="1" applyAlignment="1">
      <alignment horizontal="center"/>
    </xf>
    <xf numFmtId="0" fontId="12" fillId="0" borderId="0" xfId="0" applyFont="1" applyFill="1"/>
    <xf numFmtId="164" fontId="2" fillId="0" borderId="0" xfId="0" applyNumberFormat="1" applyFont="1" applyFill="1" applyAlignment="1" applyProtection="1">
      <alignment horizontal="center"/>
      <protection locked="0" hidden="1"/>
    </xf>
    <xf numFmtId="164" fontId="12" fillId="0" borderId="0" xfId="0" applyNumberFormat="1" applyFont="1"/>
    <xf numFmtId="0" fontId="2" fillId="0" borderId="0" xfId="0" applyFont="1" applyFill="1" applyBorder="1" applyAlignment="1">
      <alignment horizontal="center"/>
    </xf>
    <xf numFmtId="0" fontId="13" fillId="0" borderId="10" xfId="0" applyFont="1" applyBorder="1" applyAlignment="1">
      <alignment horizontal="center"/>
    </xf>
    <xf numFmtId="168" fontId="12" fillId="0" borderId="12" xfId="4" applyNumberFormat="1" applyFont="1" applyBorder="1" applyAlignment="1">
      <alignment horizontal="center"/>
    </xf>
    <xf numFmtId="168" fontId="12" fillId="0" borderId="14" xfId="4" applyNumberFormat="1" applyFont="1" applyBorder="1" applyAlignment="1">
      <alignment horizontal="center"/>
    </xf>
    <xf numFmtId="1" fontId="2" fillId="0" borderId="0" xfId="1" applyNumberFormat="1" applyFont="1" applyFill="1" applyAlignment="1">
      <alignment horizontal="center"/>
    </xf>
    <xf numFmtId="0" fontId="3" fillId="0" borderId="0" xfId="1" applyFont="1" applyAlignment="1">
      <alignment horizontal="center" wrapText="1"/>
    </xf>
    <xf numFmtId="0" fontId="2" fillId="0" borderId="0" xfId="1" applyFont="1" applyAlignment="1"/>
    <xf numFmtId="0" fontId="2" fillId="0" borderId="0" xfId="1" applyFont="1"/>
    <xf numFmtId="0" fontId="3" fillId="0" borderId="0" xfId="0" applyFont="1" applyAlignment="1">
      <alignment horizontal="center"/>
    </xf>
    <xf numFmtId="0" fontId="2" fillId="0" borderId="0" xfId="0" applyFont="1" applyAlignment="1">
      <alignment horizontal="center"/>
    </xf>
    <xf numFmtId="0" fontId="2" fillId="0" borderId="0" xfId="3" applyFont="1" applyAlignment="1">
      <alignment horizontal="center"/>
    </xf>
    <xf numFmtId="2" fontId="3" fillId="0" borderId="0" xfId="0" applyNumberFormat="1" applyFont="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164" fontId="12" fillId="0" borderId="0" xfId="0" applyNumberFormat="1" applyFont="1" applyFill="1"/>
    <xf numFmtId="164" fontId="13" fillId="0" borderId="9" xfId="0" applyNumberFormat="1" applyFont="1" applyBorder="1" applyAlignment="1">
      <alignment horizontal="center"/>
    </xf>
    <xf numFmtId="0" fontId="13" fillId="0" borderId="2" xfId="0" applyFont="1" applyBorder="1" applyAlignment="1">
      <alignment horizontal="center"/>
    </xf>
    <xf numFmtId="168" fontId="12" fillId="0" borderId="0" xfId="0" applyNumberFormat="1" applyFont="1" applyBorder="1" applyAlignment="1">
      <alignment horizontal="center"/>
    </xf>
    <xf numFmtId="0" fontId="2" fillId="0" borderId="11" xfId="0" applyFont="1" applyFill="1" applyBorder="1" applyAlignment="1">
      <alignment horizontal="center"/>
    </xf>
    <xf numFmtId="0" fontId="12" fillId="0" borderId="0" xfId="0" applyFont="1" applyBorder="1" applyAlignment="1"/>
    <xf numFmtId="0" fontId="2" fillId="0" borderId="2" xfId="0" applyFont="1" applyBorder="1"/>
    <xf numFmtId="0" fontId="3" fillId="0" borderId="0" xfId="1" applyFont="1" applyAlignment="1">
      <alignment horizontal="center" wrapText="1"/>
    </xf>
    <xf numFmtId="0" fontId="2" fillId="0" borderId="0" xfId="1" applyFont="1"/>
    <xf numFmtId="166" fontId="2" fillId="0" borderId="0" xfId="1" applyNumberFormat="1" applyFont="1" applyFill="1" applyAlignment="1">
      <alignment horizontal="center"/>
    </xf>
    <xf numFmtId="173" fontId="2" fillId="0" borderId="0" xfId="1" applyNumberFormat="1" applyFont="1" applyFill="1" applyAlignment="1">
      <alignment horizontal="center"/>
    </xf>
    <xf numFmtId="0" fontId="2" fillId="0" borderId="0" xfId="1" applyFont="1"/>
    <xf numFmtId="0" fontId="2" fillId="0" borderId="0" xfId="0" applyFont="1" applyAlignment="1">
      <alignment horizontal="center"/>
    </xf>
    <xf numFmtId="164" fontId="2" fillId="0" borderId="0" xfId="0" applyNumberFormat="1" applyFont="1" applyBorder="1" applyAlignment="1">
      <alignment horizontal="right"/>
    </xf>
    <xf numFmtId="0" fontId="4" fillId="0" borderId="0" xfId="0" applyFont="1" applyFill="1" applyAlignment="1">
      <alignment horizontal="right"/>
    </xf>
    <xf numFmtId="174" fontId="2" fillId="0" borderId="0" xfId="6" applyNumberFormat="1" applyFont="1" applyFill="1" applyAlignment="1">
      <alignment horizontal="distributed"/>
    </xf>
    <xf numFmtId="3" fontId="2" fillId="0" borderId="0" xfId="0" applyNumberFormat="1" applyFont="1" applyAlignment="1">
      <alignment horizontal="right"/>
    </xf>
    <xf numFmtId="168" fontId="2" fillId="0" borderId="0" xfId="5" applyNumberFormat="1" applyFont="1"/>
    <xf numFmtId="3" fontId="2" fillId="0" borderId="0" xfId="5" applyNumberFormat="1" applyFont="1"/>
    <xf numFmtId="0" fontId="2" fillId="0" borderId="0" xfId="0" applyFont="1" applyAlignment="1">
      <alignment horizontal="right" vertical="top"/>
    </xf>
    <xf numFmtId="165" fontId="2" fillId="0" borderId="0" xfId="0" applyNumberFormat="1" applyFont="1"/>
    <xf numFmtId="0" fontId="15" fillId="0" borderId="0" xfId="0" applyFont="1"/>
    <xf numFmtId="10" fontId="2" fillId="0" borderId="0" xfId="5" applyNumberFormat="1" applyFont="1"/>
    <xf numFmtId="165" fontId="2" fillId="0" borderId="0" xfId="5" applyNumberFormat="1" applyFont="1"/>
    <xf numFmtId="165" fontId="2" fillId="0" borderId="0" xfId="0" applyNumberFormat="1" applyFont="1" applyBorder="1" applyAlignment="1">
      <alignment horizontal="center"/>
    </xf>
    <xf numFmtId="3" fontId="2" fillId="0" borderId="0" xfId="0" applyNumberFormat="1" applyFont="1" applyFill="1" applyBorder="1"/>
    <xf numFmtId="0" fontId="2" fillId="0" borderId="0" xfId="0" quotePrefix="1" applyFont="1" applyAlignment="1">
      <alignment horizontal="right" vertical="top"/>
    </xf>
    <xf numFmtId="0" fontId="0" fillId="0" borderId="0" xfId="0" applyAlignment="1"/>
    <xf numFmtId="0" fontId="2" fillId="0" borderId="0" xfId="0" applyFont="1" applyAlignment="1"/>
    <xf numFmtId="0" fontId="2" fillId="0" borderId="0" xfId="1" applyFont="1" applyAlignment="1"/>
    <xf numFmtId="0" fontId="12" fillId="0" borderId="0" xfId="0" applyFont="1" applyAlignment="1"/>
    <xf numFmtId="0" fontId="2" fillId="0" borderId="0" xfId="1" applyFont="1" applyFill="1" applyAlignment="1">
      <alignment horizontal="left" vertical="top"/>
    </xf>
    <xf numFmtId="0" fontId="16" fillId="0" borderId="0" xfId="0" applyFont="1"/>
    <xf numFmtId="0" fontId="2" fillId="0" borderId="0" xfId="0" applyFont="1" applyAlignment="1">
      <alignment horizontal="center"/>
    </xf>
    <xf numFmtId="164" fontId="2" fillId="0" borderId="0" xfId="0" applyNumberFormat="1" applyFont="1" applyAlignment="1">
      <alignment horizontal="center" vertical="top" wrapText="1"/>
    </xf>
    <xf numFmtId="3" fontId="2" fillId="0" borderId="0" xfId="5" applyNumberFormat="1" applyFont="1" applyFill="1"/>
    <xf numFmtId="0" fontId="3" fillId="0" borderId="0" xfId="1" applyFont="1" applyAlignment="1">
      <alignment horizontal="center" wrapText="1"/>
    </xf>
    <xf numFmtId="0" fontId="2" fillId="0" borderId="0" xfId="0" applyFont="1"/>
    <xf numFmtId="0" fontId="2" fillId="0" borderId="0" xfId="1" applyFont="1"/>
    <xf numFmtId="0" fontId="3" fillId="0" borderId="0" xfId="1" applyFont="1" applyAlignment="1">
      <alignment horizontal="center" wrapText="1"/>
    </xf>
    <xf numFmtId="0" fontId="2" fillId="0" borderId="0" xfId="1" applyFont="1" applyAlignment="1">
      <alignment vertical="top"/>
    </xf>
    <xf numFmtId="0" fontId="2" fillId="0" borderId="0" xfId="0" applyFont="1" applyAlignment="1">
      <alignment horizontal="center"/>
    </xf>
    <xf numFmtId="14" fontId="2" fillId="0" borderId="0" xfId="0" applyNumberFormat="1" applyFont="1" applyAlignment="1">
      <alignment horizontal="center"/>
    </xf>
    <xf numFmtId="0" fontId="12" fillId="0" borderId="0" xfId="0" applyFont="1" applyAlignment="1">
      <alignment horizontal="right"/>
    </xf>
    <xf numFmtId="14" fontId="2" fillId="0" borderId="0" xfId="0" quotePrefix="1" applyNumberFormat="1" applyFont="1" applyAlignment="1">
      <alignment horizontal="center"/>
    </xf>
    <xf numFmtId="168" fontId="2" fillId="0" borderId="0" xfId="5" applyNumberFormat="1" applyFont="1" applyAlignment="1">
      <alignment horizontal="center" vertical="top" wrapText="1"/>
    </xf>
    <xf numFmtId="0" fontId="12" fillId="0" borderId="0" xfId="0" applyFont="1" applyAlignment="1"/>
    <xf numFmtId="0" fontId="2" fillId="0" borderId="0" xfId="1" applyFont="1" applyFill="1" applyAlignment="1">
      <alignment vertical="top" wrapText="1"/>
    </xf>
    <xf numFmtId="0" fontId="2" fillId="0" borderId="0" xfId="1" applyFont="1" applyFill="1" applyAlignment="1">
      <alignment vertical="justify"/>
    </xf>
    <xf numFmtId="0" fontId="2" fillId="0" borderId="0" xfId="0" applyFont="1"/>
    <xf numFmtId="164" fontId="2" fillId="0" borderId="0" xfId="1" applyNumberFormat="1" applyFont="1" applyBorder="1" applyAlignment="1">
      <alignment horizontal="center"/>
    </xf>
    <xf numFmtId="1" fontId="2" fillId="0" borderId="1" xfId="1" applyNumberFormat="1" applyFont="1" applyFill="1" applyBorder="1" applyAlignment="1">
      <alignment horizontal="center"/>
    </xf>
    <xf numFmtId="0" fontId="12" fillId="0" borderId="0" xfId="0" applyFont="1" applyFill="1" applyAlignment="1">
      <alignment horizontal="right"/>
    </xf>
    <xf numFmtId="0" fontId="0" fillId="0" borderId="0" xfId="0" applyFill="1" applyBorder="1" applyAlignment="1"/>
    <xf numFmtId="0" fontId="4" fillId="0" borderId="0" xfId="0" applyFont="1"/>
    <xf numFmtId="0" fontId="2" fillId="0" borderId="0" xfId="0" applyFont="1"/>
    <xf numFmtId="0" fontId="2" fillId="0" borderId="0" xfId="0" applyFont="1" applyAlignment="1">
      <alignment wrapText="1"/>
    </xf>
    <xf numFmtId="0" fontId="3"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center"/>
    </xf>
    <xf numFmtId="164" fontId="3" fillId="0" borderId="0" xfId="0" applyNumberFormat="1" applyFont="1" applyAlignment="1">
      <alignment horizontal="center"/>
    </xf>
    <xf numFmtId="0" fontId="2" fillId="0" borderId="0" xfId="0" applyFont="1" applyAlignment="1">
      <alignment horizontal="left" vertical="top" wrapText="1"/>
    </xf>
    <xf numFmtId="2" fontId="2" fillId="0" borderId="0" xfId="0" applyNumberFormat="1" applyFont="1" applyFill="1" applyAlignment="1">
      <alignment wrapText="1"/>
    </xf>
    <xf numFmtId="0" fontId="2" fillId="0" borderId="0" xfId="0" applyFont="1" applyAlignment="1" applyProtection="1">
      <alignment horizontal="left" vertical="top" wrapText="1"/>
      <protection locked="0" hidden="1"/>
    </xf>
    <xf numFmtId="0" fontId="2" fillId="0" borderId="0" xfId="0" applyFont="1" applyAlignment="1">
      <alignment vertical="top" wrapText="1"/>
    </xf>
    <xf numFmtId="0" fontId="4" fillId="0" borderId="0" xfId="0" applyFont="1"/>
    <xf numFmtId="0" fontId="3" fillId="0" borderId="0" xfId="0" applyFont="1" applyAlignment="1">
      <alignment horizontal="center"/>
    </xf>
    <xf numFmtId="0" fontId="0" fillId="0" borderId="0" xfId="0" applyAlignment="1">
      <alignment wrapText="1"/>
    </xf>
    <xf numFmtId="0" fontId="2" fillId="0" borderId="0" xfId="0" applyFont="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Border="1"/>
    <xf numFmtId="0" fontId="0" fillId="0" borderId="0" xfId="0" applyBorder="1"/>
    <xf numFmtId="0" fontId="3" fillId="0" borderId="0" xfId="0" applyNumberFormat="1" applyFont="1" applyAlignment="1">
      <alignment horizontal="centerContinuous"/>
    </xf>
    <xf numFmtId="0" fontId="18" fillId="0" borderId="0" xfId="0" applyFont="1" applyBorder="1" applyAlignment="1">
      <alignment horizontal="centerContinuous"/>
    </xf>
    <xf numFmtId="0" fontId="2" fillId="0" borderId="0" xfId="0" applyNumberFormat="1" applyFont="1" applyAlignment="1">
      <alignment horizontal="centerContinuous"/>
    </xf>
    <xf numFmtId="0" fontId="2" fillId="0" borderId="0" xfId="0" applyNumberFormat="1" applyFont="1" applyAlignment="1"/>
    <xf numFmtId="0" fontId="2" fillId="0" borderId="3" xfId="0" applyNumberFormat="1" applyFont="1" applyBorder="1" applyAlignment="1">
      <alignment horizontal="centerContinuous"/>
    </xf>
    <xf numFmtId="0" fontId="2" fillId="0" borderId="3" xfId="0" applyNumberFormat="1" applyFont="1" applyBorder="1" applyAlignment="1">
      <alignment horizontal="center"/>
    </xf>
    <xf numFmtId="0" fontId="2" fillId="0" borderId="0" xfId="0" applyNumberFormat="1" applyFont="1" applyAlignment="1">
      <alignment horizontal="center"/>
    </xf>
    <xf numFmtId="0" fontId="2" fillId="0" borderId="1" xfId="0" applyNumberFormat="1" applyFont="1" applyBorder="1" applyAlignment="1">
      <alignment horizontal="center"/>
    </xf>
    <xf numFmtId="0" fontId="2" fillId="0" borderId="4" xfId="0" applyNumberFormat="1" applyFont="1" applyBorder="1" applyAlignment="1">
      <alignment horizontal="center"/>
    </xf>
    <xf numFmtId="0" fontId="19" fillId="0" borderId="1" xfId="0" applyNumberFormat="1" applyFont="1" applyBorder="1" applyAlignment="1">
      <alignment horizontal="center"/>
    </xf>
    <xf numFmtId="0" fontId="2" fillId="0" borderId="0" xfId="0" applyNumberFormat="1" applyFont="1" applyBorder="1" applyAlignment="1">
      <alignment horizontal="center"/>
    </xf>
    <xf numFmtId="170" fontId="2" fillId="0" borderId="0" xfId="0" applyNumberFormat="1" applyFont="1" applyAlignment="1"/>
    <xf numFmtId="0" fontId="2"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164" fontId="2" fillId="0" borderId="0" xfId="0" applyNumberFormat="1" applyFont="1" applyAlignment="1"/>
    <xf numFmtId="0" fontId="3" fillId="0" borderId="0" xfId="0" applyNumberFormat="1" applyFont="1" applyAlignment="1"/>
    <xf numFmtId="171" fontId="2" fillId="0" borderId="0" xfId="0" applyNumberFormat="1" applyFont="1" applyAlignment="1">
      <alignment horizontal="centerContinuous"/>
    </xf>
    <xf numFmtId="164" fontId="7" fillId="0" borderId="0" xfId="0" applyNumberFormat="1" applyFont="1" applyAlignment="1">
      <alignment horizontal="right"/>
    </xf>
    <xf numFmtId="172" fontId="2" fillId="0" borderId="0" xfId="0" applyNumberFormat="1" applyFont="1" applyAlignment="1"/>
    <xf numFmtId="0" fontId="2" fillId="0" borderId="0" xfId="0" applyFont="1" applyAlignment="1">
      <alignment horizontal="right" vertical="center" readingOrder="1"/>
    </xf>
    <xf numFmtId="0" fontId="2" fillId="0" borderId="0" xfId="0" applyFont="1"/>
    <xf numFmtId="0" fontId="2" fillId="0" borderId="0" xfId="1" applyFont="1"/>
    <xf numFmtId="0" fontId="2" fillId="0" borderId="0" xfId="0" applyFont="1" applyAlignment="1">
      <alignment horizontal="center"/>
    </xf>
    <xf numFmtId="3" fontId="11" fillId="0" borderId="0" xfId="0" applyNumberFormat="1" applyFont="1" applyFill="1" applyBorder="1"/>
    <xf numFmtId="0" fontId="2" fillId="0" borderId="0" xfId="0" applyFont="1" applyFill="1" applyBorder="1"/>
    <xf numFmtId="165" fontId="2" fillId="0" borderId="0" xfId="0" applyNumberFormat="1" applyFont="1" applyBorder="1"/>
    <xf numFmtId="0" fontId="2" fillId="0" borderId="0" xfId="0" applyFont="1" applyFill="1" applyBorder="1" applyAlignment="1">
      <alignment vertical="top" wrapText="1"/>
    </xf>
    <xf numFmtId="0" fontId="0" fillId="0" borderId="0" xfId="0" applyFill="1" applyBorder="1"/>
    <xf numFmtId="165" fontId="2" fillId="0" borderId="0" xfId="0" applyNumberFormat="1" applyFont="1" applyFill="1" applyBorder="1"/>
    <xf numFmtId="168" fontId="2" fillId="0" borderId="0" xfId="5" applyNumberFormat="1" applyFont="1" applyFill="1" applyBorder="1"/>
    <xf numFmtId="168" fontId="11" fillId="0" borderId="0" xfId="5" applyNumberFormat="1" applyFont="1" applyFill="1" applyBorder="1"/>
    <xf numFmtId="0" fontId="2" fillId="0" borderId="0" xfId="0" applyFont="1" applyFill="1" applyBorder="1" applyAlignment="1">
      <alignment horizontal="right" vertical="top"/>
    </xf>
    <xf numFmtId="0" fontId="2" fillId="0" borderId="0" xfId="0" applyFont="1" applyBorder="1" applyAlignment="1">
      <alignment horizontal="centerContinuous"/>
    </xf>
    <xf numFmtId="0" fontId="6" fillId="0" borderId="0" xfId="0" applyFont="1" applyBorder="1" applyAlignment="1">
      <alignment horizontal="right"/>
    </xf>
    <xf numFmtId="168" fontId="2" fillId="0" borderId="12" xfId="4" applyNumberFormat="1" applyFont="1" applyFill="1" applyBorder="1" applyAlignment="1">
      <alignment horizontal="center" vertical="center"/>
    </xf>
    <xf numFmtId="0" fontId="0" fillId="0" borderId="0" xfId="0" applyAlignment="1"/>
    <xf numFmtId="0" fontId="4" fillId="0" borderId="0" xfId="0" applyFont="1" applyAlignment="1"/>
    <xf numFmtId="164" fontId="2" fillId="0" borderId="0" xfId="0" applyNumberFormat="1" applyFont="1" applyFill="1" applyAlignment="1">
      <alignment horizontal="right"/>
    </xf>
    <xf numFmtId="164" fontId="2" fillId="0" borderId="0" xfId="0" applyNumberFormat="1" applyFont="1" applyBorder="1"/>
    <xf numFmtId="0" fontId="3" fillId="0" borderId="0" xfId="0" applyFont="1" applyFill="1" applyAlignment="1">
      <alignment horizontal="centerContinuous"/>
    </xf>
    <xf numFmtId="0" fontId="2" fillId="0" borderId="0" xfId="0" applyFont="1" applyFill="1" applyAlignment="1">
      <alignment horizontal="left"/>
    </xf>
    <xf numFmtId="3" fontId="2" fillId="0" borderId="0" xfId="0" applyNumberFormat="1" applyFont="1" applyFill="1"/>
    <xf numFmtId="0" fontId="2" fillId="0" borderId="0" xfId="0" applyFont="1" applyFill="1" applyAlignment="1">
      <alignment horizontal="left" vertical="top"/>
    </xf>
    <xf numFmtId="0" fontId="3" fillId="0" borderId="0" xfId="1" applyFont="1" applyAlignment="1">
      <alignment horizontal="center" wrapText="1"/>
    </xf>
    <xf numFmtId="0" fontId="3" fillId="0" borderId="0" xfId="1" applyFont="1" applyFill="1" applyAlignment="1">
      <alignment horizontal="center" wrapText="1"/>
    </xf>
    <xf numFmtId="0" fontId="12" fillId="0" borderId="0" xfId="0" applyFont="1" applyAlignment="1"/>
    <xf numFmtId="0" fontId="2" fillId="0" borderId="0" xfId="0" applyFont="1" applyAlignment="1">
      <alignment vertical="top" wrapText="1"/>
    </xf>
    <xf numFmtId="0" fontId="2" fillId="0" borderId="0" xfId="0" applyFont="1" applyAlignment="1">
      <alignment wrapText="1"/>
    </xf>
    <xf numFmtId="0" fontId="2" fillId="0" borderId="0" xfId="1" applyFont="1"/>
    <xf numFmtId="0" fontId="2" fillId="0" borderId="0" xfId="0" applyFont="1" applyFill="1" applyAlignment="1">
      <alignment vertical="top" wrapText="1"/>
    </xf>
    <xf numFmtId="0" fontId="4" fillId="0" borderId="0" xfId="1" applyFont="1" applyFill="1" applyAlignment="1">
      <alignment horizontal="left" indent="3"/>
    </xf>
    <xf numFmtId="0" fontId="2" fillId="0" borderId="0" xfId="1" applyFont="1"/>
    <xf numFmtId="0" fontId="2" fillId="0" borderId="0" xfId="0" applyFont="1"/>
    <xf numFmtId="0" fontId="4" fillId="0" borderId="0" xfId="0" applyFont="1" applyAlignment="1">
      <alignment wrapText="1"/>
    </xf>
    <xf numFmtId="0" fontId="2" fillId="0" borderId="0" xfId="0" applyFont="1" applyAlignment="1">
      <alignment horizontal="center"/>
    </xf>
    <xf numFmtId="0" fontId="9" fillId="0" borderId="0" xfId="0" applyFont="1" applyAlignment="1">
      <alignment horizontal="left"/>
    </xf>
    <xf numFmtId="1" fontId="2" fillId="0" borderId="0" xfId="1" applyNumberFormat="1" applyFont="1" applyFill="1" applyBorder="1" applyAlignment="1">
      <alignment horizontal="center"/>
    </xf>
    <xf numFmtId="0" fontId="2" fillId="0" borderId="0" xfId="0" applyFont="1"/>
    <xf numFmtId="0" fontId="2" fillId="0" borderId="0" xfId="0" applyFont="1" applyAlignment="1">
      <alignment horizontal="center"/>
    </xf>
    <xf numFmtId="0" fontId="2" fillId="0" borderId="0" xfId="1" applyFont="1" applyFill="1" applyAlignment="1">
      <alignment vertical="top" wrapText="1"/>
    </xf>
    <xf numFmtId="0" fontId="2" fillId="0" borderId="0" xfId="1" applyFont="1" applyFill="1" applyAlignment="1">
      <alignment horizontal="left" vertical="top" wrapText="1"/>
    </xf>
    <xf numFmtId="0" fontId="17" fillId="0" borderId="0" xfId="0" applyFont="1" applyAlignment="1">
      <alignment vertical="justify"/>
    </xf>
    <xf numFmtId="0" fontId="2" fillId="0" borderId="0" xfId="0" applyFont="1"/>
    <xf numFmtId="0" fontId="2" fillId="0" borderId="0" xfId="1" applyFont="1"/>
    <xf numFmtId="0" fontId="2" fillId="0" borderId="0" xfId="0" applyFont="1" applyAlignment="1">
      <alignment horizontal="center"/>
    </xf>
    <xf numFmtId="0" fontId="2" fillId="0" borderId="0" xfId="0" applyFont="1"/>
    <xf numFmtId="0" fontId="2" fillId="0" borderId="0" xfId="0" applyFont="1" applyAlignment="1">
      <alignment horizontal="center"/>
    </xf>
    <xf numFmtId="0" fontId="2" fillId="0" borderId="1" xfId="0" applyFont="1" applyFill="1" applyBorder="1" applyAlignment="1">
      <alignment horizontal="center"/>
    </xf>
    <xf numFmtId="164" fontId="2" fillId="0" borderId="1" xfId="0" applyNumberFormat="1" applyFont="1" applyBorder="1" applyAlignment="1">
      <alignment horizontal="center"/>
    </xf>
    <xf numFmtId="0" fontId="2" fillId="0" borderId="0" xfId="0" applyFont="1" applyBorder="1"/>
    <xf numFmtId="164" fontId="3" fillId="0" borderId="0" xfId="0" applyNumberFormat="1" applyFont="1" applyFill="1" applyAlignment="1">
      <alignment horizontal="centerContinuous"/>
    </xf>
    <xf numFmtId="0" fontId="3" fillId="0" borderId="0" xfId="1" applyFont="1" applyAlignment="1">
      <alignment horizontal="centerContinuous" wrapText="1"/>
    </xf>
    <xf numFmtId="0" fontId="12" fillId="0" borderId="0" xfId="0" applyFont="1" applyAlignment="1">
      <alignment horizontal="centerContinuous"/>
    </xf>
    <xf numFmtId="0" fontId="12" fillId="0" borderId="0" xfId="0" applyFont="1" applyBorder="1" applyAlignment="1">
      <alignment horizontal="centerContinuous"/>
    </xf>
    <xf numFmtId="0" fontId="3" fillId="0" borderId="0" xfId="1" applyFont="1" applyFill="1" applyAlignment="1">
      <alignment horizontal="centerContinuous" wrapText="1"/>
    </xf>
    <xf numFmtId="0" fontId="17" fillId="0" borderId="0" xfId="0" applyFont="1" applyAlignment="1">
      <alignment horizontal="centerContinuous" wrapText="1"/>
    </xf>
    <xf numFmtId="0" fontId="3" fillId="0" borderId="0" xfId="0" applyFont="1" applyAlignment="1">
      <alignment horizontal="centerContinuous"/>
    </xf>
    <xf numFmtId="0" fontId="2" fillId="0" borderId="1" xfId="1" applyFont="1" applyFill="1" applyBorder="1" applyAlignment="1">
      <alignment horizontal="centerContinuous"/>
    </xf>
    <xf numFmtId="0" fontId="17" fillId="0" borderId="1" xfId="0" applyFont="1" applyBorder="1" applyAlignment="1">
      <alignment horizontal="centerContinuous"/>
    </xf>
    <xf numFmtId="0" fontId="2" fillId="0" borderId="0" xfId="1" applyFont="1" applyFill="1" applyBorder="1" applyAlignment="1">
      <alignment horizontal="centerContinuous"/>
    </xf>
    <xf numFmtId="0" fontId="0" fillId="0" borderId="0" xfId="0" applyAlignment="1">
      <alignment horizontal="left" vertical="top"/>
    </xf>
    <xf numFmtId="165" fontId="9" fillId="0" borderId="0" xfId="1" applyNumberFormat="1" applyFont="1" applyFill="1" applyAlignment="1">
      <alignment horizontal="center"/>
    </xf>
    <xf numFmtId="164" fontId="2" fillId="0" borderId="0" xfId="0" quotePrefix="1" applyNumberFormat="1" applyFont="1" applyFill="1" applyAlignment="1">
      <alignment horizontal="center"/>
    </xf>
    <xf numFmtId="0" fontId="2" fillId="0" borderId="0" xfId="0" applyFont="1" applyAlignment="1">
      <alignment horizontal="center"/>
    </xf>
    <xf numFmtId="164" fontId="9" fillId="0" borderId="0" xfId="0" applyNumberFormat="1" applyFont="1" applyFill="1" applyAlignment="1">
      <alignment horizontal="center"/>
    </xf>
    <xf numFmtId="168" fontId="11" fillId="0" borderId="0" xfId="0" applyNumberFormat="1" applyFont="1" applyFill="1"/>
    <xf numFmtId="0" fontId="4" fillId="0" borderId="0" xfId="0" applyFont="1" applyFill="1" applyBorder="1" applyAlignment="1">
      <alignment horizontal="center"/>
    </xf>
    <xf numFmtId="168" fontId="2" fillId="0" borderId="0" xfId="0" applyNumberFormat="1" applyFont="1" applyFill="1" applyAlignment="1">
      <alignment horizontal="right" indent="3"/>
    </xf>
    <xf numFmtId="0" fontId="2" fillId="0" borderId="0" xfId="0" applyFont="1" applyFill="1" applyAlignment="1">
      <alignment horizontal="right" indent="3"/>
    </xf>
    <xf numFmtId="168" fontId="2" fillId="0" borderId="0" xfId="0" applyNumberFormat="1" applyFont="1" applyFill="1" applyBorder="1" applyAlignment="1">
      <alignment horizontal="right" indent="3"/>
    </xf>
    <xf numFmtId="0" fontId="2" fillId="0" borderId="0" xfId="0" applyFont="1" applyFill="1" applyBorder="1" applyAlignment="1">
      <alignment horizontal="right" indent="3"/>
    </xf>
    <xf numFmtId="0" fontId="2" fillId="0" borderId="0" xfId="0" quotePrefix="1" applyFont="1" applyFill="1" applyAlignment="1">
      <alignment horizontal="center" vertical="top" wrapText="1"/>
    </xf>
    <xf numFmtId="0" fontId="2" fillId="0" borderId="0" xfId="0" applyFont="1" applyFill="1" applyBorder="1" applyAlignment="1">
      <alignment horizontal="left"/>
    </xf>
    <xf numFmtId="164" fontId="11" fillId="0" borderId="0" xfId="0" applyNumberFormat="1" applyFont="1" applyFill="1" applyAlignment="1">
      <alignment horizontal="center"/>
    </xf>
    <xf numFmtId="0" fontId="2" fillId="0" borderId="0" xfId="0" applyFont="1" applyFill="1" applyAlignment="1">
      <alignment vertical="top"/>
    </xf>
    <xf numFmtId="168" fontId="2" fillId="0" borderId="0" xfId="0" applyNumberFormat="1" applyFont="1" applyFill="1" applyAlignment="1">
      <alignment horizontal="center"/>
    </xf>
    <xf numFmtId="168" fontId="2" fillId="0" borderId="0" xfId="0" applyNumberFormat="1" applyFont="1" applyFill="1" applyAlignment="1">
      <alignment horizontal="right"/>
    </xf>
    <xf numFmtId="0" fontId="9" fillId="0" borderId="0" xfId="0" applyFont="1" applyFill="1"/>
    <xf numFmtId="164" fontId="21" fillId="0" borderId="0" xfId="0" applyNumberFormat="1" applyFont="1" applyAlignment="1">
      <alignment horizontal="center"/>
    </xf>
    <xf numFmtId="3" fontId="21" fillId="0" borderId="0" xfId="0" applyNumberFormat="1" applyFont="1"/>
    <xf numFmtId="164" fontId="21" fillId="0" borderId="0" xfId="0" applyNumberFormat="1" applyFont="1" applyFill="1" applyAlignment="1">
      <alignment horizontal="center"/>
    </xf>
    <xf numFmtId="3" fontId="2" fillId="0" borderId="0" xfId="3" applyNumberFormat="1" applyFont="1" applyFill="1"/>
    <xf numFmtId="164" fontId="9" fillId="0" borderId="0" xfId="0" applyNumberFormat="1" applyFont="1" applyFill="1" applyBorder="1" applyAlignment="1">
      <alignment horizontal="center"/>
    </xf>
    <xf numFmtId="1" fontId="2" fillId="0" borderId="0" xfId="0" applyNumberFormat="1" applyFont="1"/>
    <xf numFmtId="10" fontId="2" fillId="0" borderId="0" xfId="4" applyNumberFormat="1" applyFont="1"/>
    <xf numFmtId="0" fontId="3" fillId="0" borderId="0" xfId="3" applyFont="1" applyAlignment="1">
      <alignment horizontal="centerContinuous"/>
    </xf>
    <xf numFmtId="0" fontId="2" fillId="0" borderId="0" xfId="3" applyFont="1" applyAlignment="1">
      <alignment horizontal="centerContinuous"/>
    </xf>
    <xf numFmtId="2" fontId="3" fillId="0" borderId="0" xfId="0" applyNumberFormat="1" applyFont="1" applyAlignment="1">
      <alignment horizontal="centerContinuous"/>
    </xf>
    <xf numFmtId="0" fontId="3" fillId="0" borderId="0" xfId="0" applyFont="1" applyAlignment="1" applyProtection="1">
      <alignment horizontal="centerContinuous"/>
      <protection locked="0" hidden="1"/>
    </xf>
    <xf numFmtId="9" fontId="3" fillId="0" borderId="0" xfId="5" applyFont="1" applyAlignment="1" applyProtection="1">
      <alignment horizontal="centerContinuous"/>
      <protection locked="0" hidden="1"/>
    </xf>
    <xf numFmtId="164" fontId="3" fillId="0" borderId="0" xfId="1" applyNumberFormat="1" applyFont="1" applyFill="1" applyAlignment="1">
      <alignment horizontal="centerContinuous"/>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wrapText="1"/>
    </xf>
    <xf numFmtId="0" fontId="17" fillId="0" borderId="0" xfId="0" applyFont="1" applyAlignment="1"/>
    <xf numFmtId="0" fontId="17" fillId="0" borderId="0" xfId="0" applyFont="1" applyAlignment="1">
      <alignment vertical="justify"/>
    </xf>
    <xf numFmtId="0" fontId="2" fillId="0" borderId="0" xfId="0" applyFont="1"/>
    <xf numFmtId="0" fontId="3" fillId="0" borderId="0" xfId="1" applyFont="1" applyAlignment="1">
      <alignment horizontal="center" wrapText="1"/>
    </xf>
    <xf numFmtId="0" fontId="2" fillId="0" borderId="0" xfId="1" applyFont="1"/>
    <xf numFmtId="0" fontId="2" fillId="0" borderId="0" xfId="0" applyFont="1" applyBorder="1" applyAlignment="1">
      <alignment horizontal="center"/>
    </xf>
    <xf numFmtId="168" fontId="11" fillId="0" borderId="0" xfId="5" applyNumberFormat="1" applyFont="1" applyFill="1" applyAlignment="1">
      <alignment horizontal="center" vertical="top" wrapText="1"/>
    </xf>
    <xf numFmtId="168" fontId="11" fillId="0" borderId="0" xfId="3" applyNumberFormat="1" applyFont="1" applyFill="1" applyAlignment="1">
      <alignment horizontal="right"/>
    </xf>
    <xf numFmtId="164" fontId="2" fillId="0" borderId="0" xfId="0" applyNumberFormat="1" applyFont="1" applyBorder="1" applyAlignment="1">
      <alignment vertical="center"/>
    </xf>
    <xf numFmtId="0" fontId="2" fillId="0" borderId="0" xfId="0" applyFont="1"/>
    <xf numFmtId="0" fontId="2" fillId="0" borderId="0" xfId="3" applyFont="1" applyAlignment="1">
      <alignment vertical="top" wrapText="1"/>
    </xf>
    <xf numFmtId="0" fontId="2" fillId="0" borderId="0" xfId="3" applyFont="1" applyAlignment="1"/>
    <xf numFmtId="0" fontId="2" fillId="0" borderId="0" xfId="3" applyFont="1" applyAlignment="1">
      <alignment vertical="top"/>
    </xf>
    <xf numFmtId="0" fontId="2" fillId="0" borderId="0" xfId="0" applyFont="1"/>
    <xf numFmtId="0" fontId="2" fillId="0" borderId="0" xfId="0" applyFont="1"/>
    <xf numFmtId="164" fontId="11" fillId="0" borderId="1" xfId="0" applyNumberFormat="1" applyFont="1" applyFill="1" applyBorder="1"/>
    <xf numFmtId="168" fontId="11" fillId="0" borderId="0" xfId="5" applyNumberFormat="1" applyFont="1"/>
    <xf numFmtId="0" fontId="20" fillId="0" borderId="0" xfId="0" applyNumberFormat="1" applyFont="1" applyAlignment="1">
      <alignment horizontal="centerContinuous"/>
    </xf>
    <xf numFmtId="165" fontId="2" fillId="0" borderId="0" xfId="1" quotePrefix="1" applyNumberFormat="1" applyFont="1" applyFill="1" applyAlignment="1">
      <alignment horizontal="center"/>
    </xf>
    <xf numFmtId="0" fontId="2" fillId="0" borderId="0" xfId="0" applyFont="1" applyAlignment="1">
      <alignment horizontal="left" vertical="top" wrapText="1"/>
    </xf>
    <xf numFmtId="0" fontId="4"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center"/>
    </xf>
    <xf numFmtId="0" fontId="2" fillId="0" borderId="0" xfId="0" applyFont="1" applyBorder="1" applyAlignment="1">
      <alignment horizontal="center"/>
    </xf>
    <xf numFmtId="0" fontId="2" fillId="0" borderId="0" xfId="0" applyFont="1" applyAlignment="1"/>
    <xf numFmtId="0" fontId="0" fillId="0" borderId="0" xfId="0" applyBorder="1" applyAlignment="1"/>
    <xf numFmtId="10" fontId="12" fillId="0" borderId="0" xfId="0" applyNumberFormat="1" applyFont="1" applyBorder="1" applyAlignment="1">
      <alignment horizontal="center"/>
    </xf>
    <xf numFmtId="9" fontId="20" fillId="0" borderId="0" xfId="5" applyFont="1" applyAlignment="1" applyProtection="1">
      <alignment horizontal="centerContinuous"/>
      <protection locked="0" hidden="1"/>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horizontal="left" vertical="top" wrapText="1"/>
    </xf>
    <xf numFmtId="0" fontId="17" fillId="0" borderId="0" xfId="0" applyFont="1" applyAlignment="1">
      <alignment vertical="justify"/>
    </xf>
    <xf numFmtId="0" fontId="4" fillId="0" borderId="0" xfId="0" applyFont="1"/>
    <xf numFmtId="0" fontId="2" fillId="0" borderId="0" xfId="0" applyFont="1"/>
    <xf numFmtId="0" fontId="2" fillId="0" borderId="0" xfId="1" applyFont="1"/>
    <xf numFmtId="0" fontId="4" fillId="0" borderId="0" xfId="0" applyFont="1" applyAlignment="1">
      <alignment wrapText="1"/>
    </xf>
    <xf numFmtId="0" fontId="2" fillId="0" borderId="0" xfId="0" applyFont="1" applyAlignment="1"/>
    <xf numFmtId="0" fontId="2" fillId="0" borderId="0" xfId="1" applyFont="1" applyFill="1" applyAlignment="1">
      <alignment vertical="top"/>
    </xf>
    <xf numFmtId="0" fontId="0" fillId="0" borderId="0" xfId="0" applyAlignment="1">
      <alignment vertical="top"/>
    </xf>
    <xf numFmtId="165" fontId="2" fillId="0" borderId="0" xfId="1" applyNumberFormat="1" applyFont="1" applyAlignment="1"/>
    <xf numFmtId="0" fontId="2" fillId="0" borderId="0" xfId="1" applyFont="1" applyFill="1" applyAlignment="1">
      <alignment horizontal="left" vertical="justify"/>
    </xf>
    <xf numFmtId="0" fontId="4" fillId="0" borderId="0" xfId="0" applyFont="1" applyAlignment="1">
      <alignment horizontal="left"/>
    </xf>
    <xf numFmtId="0" fontId="2" fillId="0" borderId="0" xfId="0" applyFont="1"/>
    <xf numFmtId="0" fontId="4" fillId="0" borderId="0" xfId="0" applyFont="1"/>
    <xf numFmtId="0" fontId="4" fillId="0" borderId="0" xfId="0" applyFont="1" applyAlignment="1">
      <alignment wrapText="1"/>
    </xf>
    <xf numFmtId="0" fontId="2" fillId="0" borderId="0" xfId="0" applyFont="1" applyAlignment="1"/>
    <xf numFmtId="0" fontId="2" fillId="0" borderId="0" xfId="0" applyFont="1" applyAlignment="1">
      <alignment horizontal="left" vertical="top" wrapText="1"/>
    </xf>
    <xf numFmtId="0" fontId="17" fillId="0" borderId="0" xfId="0" applyFont="1" applyAlignment="1">
      <alignment horizontal="left" vertical="top" wrapText="1"/>
    </xf>
    <xf numFmtId="0" fontId="2" fillId="0" borderId="0" xfId="0" applyFont="1" applyAlignment="1" applyProtection="1">
      <alignment horizontal="left" vertical="top" wrapText="1"/>
      <protection locked="0" hidden="1"/>
    </xf>
    <xf numFmtId="164" fontId="13" fillId="0" borderId="9" xfId="0" applyNumberFormat="1" applyFont="1" applyFill="1" applyBorder="1" applyAlignment="1">
      <alignment horizontal="center"/>
    </xf>
    <xf numFmtId="0" fontId="13" fillId="0" borderId="2" xfId="0" applyFont="1" applyFill="1" applyBorder="1" applyAlignment="1">
      <alignment horizontal="center"/>
    </xf>
    <xf numFmtId="0" fontId="13" fillId="0" borderId="10" xfId="0" applyFont="1" applyFill="1" applyBorder="1" applyAlignment="1">
      <alignment horizontal="center"/>
    </xf>
    <xf numFmtId="168" fontId="2" fillId="0" borderId="0" xfId="4" applyNumberFormat="1" applyFont="1" applyFill="1" applyBorder="1" applyAlignment="1">
      <alignment horizontal="center" vertical="center"/>
    </xf>
    <xf numFmtId="168" fontId="12" fillId="0" borderId="12" xfId="4" applyNumberFormat="1" applyFont="1" applyFill="1" applyBorder="1" applyAlignment="1">
      <alignment horizontal="center"/>
    </xf>
    <xf numFmtId="0" fontId="2" fillId="0" borderId="13" xfId="0" applyFont="1" applyFill="1" applyBorder="1" applyAlignment="1">
      <alignment horizontal="center"/>
    </xf>
    <xf numFmtId="168" fontId="12" fillId="0" borderId="14" xfId="4" applyNumberFormat="1" applyFont="1" applyFill="1" applyBorder="1" applyAlignment="1">
      <alignment horizontal="center"/>
    </xf>
    <xf numFmtId="168" fontId="11" fillId="0" borderId="0" xfId="3" applyNumberFormat="1" applyFont="1" applyFill="1"/>
    <xf numFmtId="167" fontId="2" fillId="0" borderId="0" xfId="0" applyNumberFormat="1" applyFont="1" applyFill="1"/>
    <xf numFmtId="2" fontId="2" fillId="0" borderId="0" xfId="0" applyNumberFormat="1" applyFont="1" applyFill="1"/>
    <xf numFmtId="14" fontId="9" fillId="0" borderId="0" xfId="0" quotePrefix="1" applyNumberFormat="1" applyFont="1" applyFill="1" applyAlignment="1">
      <alignment horizontal="center"/>
    </xf>
    <xf numFmtId="0" fontId="12" fillId="0" borderId="0" xfId="0" applyFont="1" applyFill="1" applyAlignment="1">
      <alignment horizontal="centerContinuous"/>
    </xf>
    <xf numFmtId="0" fontId="2" fillId="0" borderId="0" xfId="0" applyFont="1" applyFill="1" applyAlignment="1">
      <alignment horizontal="center" wrapText="1"/>
    </xf>
    <xf numFmtId="0" fontId="4" fillId="0" borderId="0" xfId="0" applyFont="1" applyFill="1" applyAlignment="1">
      <alignment horizontal="center" wrapText="1"/>
    </xf>
    <xf numFmtId="164" fontId="7" fillId="0" borderId="0" xfId="0" applyNumberFormat="1" applyFont="1" applyFill="1" applyAlignment="1">
      <alignment horizontal="center"/>
    </xf>
    <xf numFmtId="0" fontId="2" fillId="0" borderId="0" xfId="0" applyFont="1" applyFill="1" applyAlignment="1">
      <alignment horizontal="justify" vertical="justify"/>
    </xf>
    <xf numFmtId="0" fontId="3" fillId="0" borderId="0" xfId="1" applyFont="1" applyFill="1" applyAlignment="1">
      <alignment horizontal="centerContinuous"/>
    </xf>
    <xf numFmtId="0" fontId="6" fillId="0" borderId="0" xfId="1" applyFont="1" applyFill="1" applyAlignment="1">
      <alignment horizontal="center"/>
    </xf>
    <xf numFmtId="0" fontId="17" fillId="0" borderId="0" xfId="0" applyFont="1" applyFill="1" applyAlignment="1"/>
    <xf numFmtId="0" fontId="12" fillId="0" borderId="0" xfId="0" applyFont="1" applyFill="1" applyAlignment="1">
      <alignment wrapText="1"/>
    </xf>
    <xf numFmtId="0" fontId="2" fillId="0" borderId="0" xfId="0" applyFont="1" applyFill="1" applyAlignment="1">
      <alignment horizontal="right"/>
    </xf>
    <xf numFmtId="175" fontId="21" fillId="0" borderId="0" xfId="6" applyNumberFormat="1" applyFont="1" applyFill="1"/>
    <xf numFmtId="0" fontId="2" fillId="0" borderId="0" xfId="1" applyFont="1" applyFill="1" applyAlignment="1"/>
    <xf numFmtId="0" fontId="17" fillId="0" borderId="0" xfId="0" applyFont="1" applyFill="1" applyAlignment="1">
      <alignment vertical="top"/>
    </xf>
    <xf numFmtId="0" fontId="12" fillId="0" borderId="0" xfId="0" applyFont="1" applyFill="1" applyAlignment="1">
      <alignment horizontal="left"/>
    </xf>
    <xf numFmtId="0" fontId="2" fillId="0" borderId="0" xfId="0" applyFont="1"/>
    <xf numFmtId="0" fontId="4" fillId="0" borderId="0" xfId="0" applyFont="1"/>
    <xf numFmtId="0" fontId="2" fillId="0" borderId="0" xfId="0" applyFont="1"/>
    <xf numFmtId="0" fontId="4" fillId="0" borderId="0" xfId="0" applyFont="1"/>
    <xf numFmtId="0" fontId="2" fillId="0" borderId="1" xfId="0" applyFont="1" applyBorder="1" applyAlignment="1">
      <alignment horizontal="centerContinuous"/>
    </xf>
    <xf numFmtId="174" fontId="21" fillId="0" borderId="0" xfId="6" applyNumberFormat="1" applyFont="1" applyFill="1" applyAlignment="1">
      <alignment horizontal="distributed"/>
    </xf>
    <xf numFmtId="168" fontId="21" fillId="0" borderId="0" xfId="4" applyNumberFormat="1" applyFont="1"/>
    <xf numFmtId="0" fontId="1" fillId="0" borderId="0" xfId="0" applyFont="1"/>
    <xf numFmtId="0" fontId="1" fillId="0" borderId="1" xfId="0" applyFont="1" applyBorder="1" applyAlignment="1">
      <alignment horizontal="centerContinuous"/>
    </xf>
    <xf numFmtId="0" fontId="1" fillId="0" borderId="0" xfId="0" applyFont="1" applyAlignment="1">
      <alignment horizontal="right"/>
    </xf>
    <xf numFmtId="43" fontId="21" fillId="0" borderId="0" xfId="6" applyNumberFormat="1" applyFont="1"/>
    <xf numFmtId="0" fontId="9" fillId="0" borderId="0" xfId="0" applyFont="1" applyAlignment="1">
      <alignment horizontal="right"/>
    </xf>
    <xf numFmtId="0" fontId="2" fillId="0" borderId="0" xfId="0" applyFont="1"/>
    <xf numFmtId="0" fontId="2" fillId="0" borderId="0" xfId="0" applyFont="1"/>
    <xf numFmtId="0" fontId="12" fillId="0" borderId="0" xfId="0" applyFont="1" applyFill="1" applyBorder="1" applyAlignment="1">
      <alignment horizontal="center"/>
    </xf>
    <xf numFmtId="0" fontId="2" fillId="0" borderId="0" xfId="0" applyFont="1" applyFill="1" applyAlignment="1">
      <alignment vertical="top" wrapText="1"/>
    </xf>
    <xf numFmtId="0" fontId="2" fillId="0" borderId="2" xfId="0" applyFont="1" applyFill="1" applyBorder="1" applyAlignment="1">
      <alignment horizontal="center"/>
    </xf>
    <xf numFmtId="0" fontId="2" fillId="0" borderId="0" xfId="1" applyFont="1" applyFill="1"/>
    <xf numFmtId="0" fontId="2" fillId="0" borderId="0" xfId="0" applyFont="1" applyAlignment="1">
      <alignment horizontal="left" vertical="top" wrapText="1"/>
    </xf>
    <xf numFmtId="0" fontId="2" fillId="0" borderId="1" xfId="0" applyFont="1" applyBorder="1" applyAlignment="1">
      <alignment horizontal="center"/>
    </xf>
    <xf numFmtId="0" fontId="2" fillId="0" borderId="0" xfId="0" applyFont="1"/>
    <xf numFmtId="0" fontId="2" fillId="0" borderId="0" xfId="0" applyFont="1" applyFill="1" applyBorder="1" applyAlignment="1">
      <alignment horizontal="center"/>
    </xf>
    <xf numFmtId="0" fontId="22" fillId="0" borderId="0" xfId="1" applyFont="1" applyAlignment="1">
      <alignment horizontal="center"/>
    </xf>
    <xf numFmtId="165" fontId="11" fillId="0" borderId="0" xfId="1" applyNumberFormat="1" applyFont="1" applyAlignment="1">
      <alignment horizontal="center"/>
    </xf>
    <xf numFmtId="0" fontId="22" fillId="0" borderId="0" xfId="1" applyFont="1" applyFill="1" applyAlignment="1">
      <alignment horizontal="center"/>
    </xf>
    <xf numFmtId="3" fontId="11" fillId="0" borderId="0" xfId="0" applyNumberFormat="1" applyFont="1"/>
    <xf numFmtId="164" fontId="11" fillId="0" borderId="0" xfId="0" applyNumberFormat="1" applyFont="1"/>
    <xf numFmtId="3" fontId="11" fillId="0" borderId="0" xfId="5" applyNumberFormat="1" applyFont="1"/>
    <xf numFmtId="165" fontId="11" fillId="0" borderId="0" xfId="5" applyNumberFormat="1" applyFont="1"/>
    <xf numFmtId="164" fontId="11" fillId="0" borderId="0" xfId="4" applyNumberFormat="1" applyFont="1"/>
    <xf numFmtId="165" fontId="11" fillId="0" borderId="0" xfId="0" applyNumberFormat="1" applyFont="1"/>
    <xf numFmtId="3" fontId="11" fillId="0" borderId="0" xfId="1" applyNumberFormat="1" applyFont="1" applyFill="1" applyAlignment="1"/>
    <xf numFmtId="3" fontId="11" fillId="0" borderId="0" xfId="1" applyNumberFormat="1" applyFont="1"/>
    <xf numFmtId="3" fontId="11" fillId="0" borderId="1" xfId="1" applyNumberFormat="1" applyFont="1" applyFill="1" applyBorder="1" applyAlignment="1"/>
    <xf numFmtId="3" fontId="11" fillId="0" borderId="1" xfId="1" applyNumberFormat="1" applyFont="1" applyBorder="1"/>
    <xf numFmtId="3" fontId="11" fillId="0" borderId="1" xfId="1" applyNumberFormat="1" applyFont="1" applyBorder="1" applyAlignment="1"/>
    <xf numFmtId="3" fontId="11" fillId="0" borderId="0" xfId="1" applyNumberFormat="1" applyFont="1" applyFill="1" applyBorder="1" applyAlignment="1"/>
    <xf numFmtId="3" fontId="11" fillId="0" borderId="0" xfId="1" applyNumberFormat="1" applyFont="1" applyBorder="1" applyAlignment="1"/>
    <xf numFmtId="3" fontId="11" fillId="0" borderId="0" xfId="1" applyNumberFormat="1" applyFont="1" applyAlignment="1"/>
    <xf numFmtId="165" fontId="2" fillId="0" borderId="0" xfId="1" applyNumberFormat="1" applyAlignment="1">
      <alignment horizontal="center"/>
    </xf>
    <xf numFmtId="0" fontId="22" fillId="0" borderId="0" xfId="0" applyFont="1" applyAlignment="1">
      <alignment horizontal="right"/>
    </xf>
    <xf numFmtId="0" fontId="11" fillId="0" borderId="0" xfId="0" applyFont="1"/>
    <xf numFmtId="3" fontId="11" fillId="0" borderId="0" xfId="0" applyNumberFormat="1" applyFont="1" applyFill="1"/>
    <xf numFmtId="165" fontId="11" fillId="0" borderId="0" xfId="0" applyNumberFormat="1" applyFont="1" applyFill="1"/>
    <xf numFmtId="164" fontId="11" fillId="0" borderId="0" xfId="4" applyNumberFormat="1" applyFont="1" applyFill="1"/>
    <xf numFmtId="164" fontId="11" fillId="0" borderId="0" xfId="0" applyNumberFormat="1" applyFont="1" applyFill="1" applyBorder="1" applyAlignment="1">
      <alignment horizontal="center"/>
    </xf>
    <xf numFmtId="164" fontId="11" fillId="0" borderId="1" xfId="0" applyNumberFormat="1" applyFont="1" applyFill="1" applyBorder="1" applyAlignment="1">
      <alignment horizontal="center"/>
    </xf>
    <xf numFmtId="0" fontId="11" fillId="0" borderId="0" xfId="0" applyFont="1" applyFill="1" applyAlignment="1">
      <alignment horizontal="center"/>
    </xf>
    <xf numFmtId="167" fontId="11" fillId="0" borderId="0" xfId="0" applyNumberFormat="1" applyFont="1" applyBorder="1" applyAlignment="1">
      <alignment horizontal="center"/>
    </xf>
    <xf numFmtId="167" fontId="11" fillId="0" borderId="0" xfId="0" applyNumberFormat="1" applyFont="1" applyAlignment="1">
      <alignment horizontal="right"/>
    </xf>
    <xf numFmtId="167" fontId="11" fillId="0" borderId="0" xfId="0" quotePrefix="1" applyNumberFormat="1" applyFont="1" applyAlignment="1">
      <alignment horizontal="right"/>
    </xf>
    <xf numFmtId="167" fontId="11" fillId="0" borderId="0" xfId="0" applyNumberFormat="1" applyFont="1" applyFill="1" applyAlignment="1">
      <alignment horizontal="right"/>
    </xf>
    <xf numFmtId="164" fontId="9" fillId="0" borderId="0" xfId="0" applyNumberFormat="1" applyFont="1" applyAlignment="1">
      <alignment horizontal="center"/>
    </xf>
    <xf numFmtId="0" fontId="4" fillId="0" borderId="9" xfId="0" quotePrefix="1" applyFont="1" applyBorder="1" applyAlignment="1">
      <alignment horizontal="center"/>
    </xf>
    <xf numFmtId="0" fontId="4" fillId="0" borderId="2" xfId="0" quotePrefix="1" applyFont="1" applyBorder="1" applyAlignment="1">
      <alignment horizontal="center" wrapText="1"/>
    </xf>
    <xf numFmtId="0" fontId="4" fillId="0" borderId="10" xfId="0" quotePrefix="1" applyFont="1" applyBorder="1" applyAlignment="1">
      <alignment horizontal="center" wrapText="1"/>
    </xf>
    <xf numFmtId="168" fontId="2" fillId="0" borderId="0" xfId="4" applyNumberFormat="1" applyFont="1" applyBorder="1" applyAlignment="1">
      <alignment horizontal="center"/>
    </xf>
    <xf numFmtId="168" fontId="2" fillId="0" borderId="12" xfId="4" applyNumberFormat="1" applyFont="1" applyBorder="1" applyAlignment="1">
      <alignment horizontal="center"/>
    </xf>
    <xf numFmtId="0" fontId="4" fillId="0" borderId="13" xfId="0" quotePrefix="1" applyFont="1" applyBorder="1" applyAlignment="1">
      <alignment horizontal="center" wrapText="1"/>
    </xf>
    <xf numFmtId="168" fontId="2" fillId="0" borderId="1" xfId="4" applyNumberFormat="1" applyFont="1" applyBorder="1" applyAlignment="1">
      <alignment horizontal="center"/>
    </xf>
    <xf numFmtId="0" fontId="2" fillId="0" borderId="14" xfId="0" applyFont="1" applyBorder="1"/>
    <xf numFmtId="168" fontId="11" fillId="0" borderId="0" xfId="4" applyNumberFormat="1" applyFont="1" applyFill="1" applyAlignment="1">
      <alignment horizontal="center"/>
    </xf>
    <xf numFmtId="0" fontId="11" fillId="0" borderId="0" xfId="0" applyFont="1" applyFill="1" applyAlignment="1">
      <alignment horizontal="left"/>
    </xf>
    <xf numFmtId="168" fontId="2" fillId="0" borderId="0" xfId="0" applyNumberFormat="1" applyFont="1" applyAlignment="1">
      <alignment horizontal="center"/>
    </xf>
    <xf numFmtId="0" fontId="11" fillId="0" borderId="0" xfId="0" applyFont="1" applyFill="1"/>
    <xf numFmtId="167" fontId="11" fillId="0" borderId="0" xfId="0" applyNumberFormat="1" applyFont="1" applyFill="1" applyAlignment="1">
      <alignment horizontal="center"/>
    </xf>
    <xf numFmtId="164" fontId="11" fillId="0" borderId="0" xfId="0" applyNumberFormat="1" applyFont="1" applyAlignment="1">
      <alignment horizontal="center"/>
    </xf>
    <xf numFmtId="164" fontId="11" fillId="0" borderId="0" xfId="0" applyNumberFormat="1" applyFont="1" applyAlignment="1">
      <alignment horizontal="center" vertical="center"/>
    </xf>
    <xf numFmtId="8" fontId="11" fillId="0" borderId="0" xfId="0" applyNumberFormat="1" applyFont="1" applyFill="1" applyAlignment="1" applyProtection="1">
      <alignment horizontal="center" vertical="top"/>
      <protection locked="0" hidden="1"/>
    </xf>
    <xf numFmtId="15" fontId="2" fillId="0" borderId="0" xfId="0" quotePrefix="1" applyNumberFormat="1" applyFont="1" applyAlignment="1">
      <alignment horizontal="center"/>
    </xf>
    <xf numFmtId="169" fontId="11" fillId="0" borderId="5" xfId="0" applyNumberFormat="1" applyFont="1" applyBorder="1" applyAlignment="1"/>
    <xf numFmtId="170" fontId="11" fillId="0" borderId="5" xfId="0" applyNumberFormat="1" applyFont="1" applyBorder="1" applyAlignment="1"/>
    <xf numFmtId="170" fontId="11" fillId="0" borderId="5" xfId="0" applyNumberFormat="1" applyFont="1" applyBorder="1" applyAlignment="1">
      <alignment horizontal="right"/>
    </xf>
    <xf numFmtId="169" fontId="11" fillId="0" borderId="0" xfId="0" applyNumberFormat="1" applyFont="1" applyAlignment="1"/>
    <xf numFmtId="170" fontId="11" fillId="0" borderId="0" xfId="0" applyNumberFormat="1" applyFont="1" applyAlignment="1"/>
    <xf numFmtId="170" fontId="11" fillId="0" borderId="0" xfId="0" applyNumberFormat="1" applyFont="1" applyAlignment="1">
      <alignment horizontal="right"/>
    </xf>
    <xf numFmtId="170" fontId="11" fillId="0" borderId="0" xfId="0" applyNumberFormat="1" applyFont="1" applyAlignment="1" applyProtection="1">
      <protection locked="0"/>
    </xf>
    <xf numFmtId="169" fontId="11" fillId="0" borderId="0" xfId="0" applyNumberFormat="1" applyFont="1" applyAlignment="1" applyProtection="1">
      <protection locked="0"/>
    </xf>
    <xf numFmtId="170" fontId="11" fillId="0" borderId="0" xfId="0" applyNumberFormat="1" applyFont="1" applyAlignment="1" applyProtection="1">
      <alignment horizontal="right"/>
      <protection locked="0"/>
    </xf>
    <xf numFmtId="169" fontId="11" fillId="0" borderId="6" xfId="0" applyNumberFormat="1" applyFont="1" applyBorder="1" applyAlignment="1"/>
    <xf numFmtId="170" fontId="11" fillId="0" borderId="6" xfId="0" applyNumberFormat="1" applyFont="1" applyBorder="1" applyAlignment="1"/>
    <xf numFmtId="170" fontId="11" fillId="0" borderId="6" xfId="0" applyNumberFormat="1" applyFont="1" applyBorder="1" applyAlignment="1">
      <alignment horizontal="right"/>
    </xf>
    <xf numFmtId="169" fontId="23" fillId="0" borderId="7" xfId="0" applyNumberFormat="1" applyFont="1" applyBorder="1" applyAlignment="1"/>
    <xf numFmtId="170" fontId="23" fillId="0" borderId="7" xfId="0" applyNumberFormat="1" applyFont="1" applyBorder="1" applyAlignment="1"/>
    <xf numFmtId="170" fontId="23" fillId="0" borderId="7" xfId="0" applyNumberFormat="1" applyFont="1" applyBorder="1" applyAlignment="1">
      <alignment horizontal="right"/>
    </xf>
    <xf numFmtId="170" fontId="11" fillId="0" borderId="7" xfId="0" applyNumberFormat="1" applyFont="1" applyBorder="1" applyAlignment="1"/>
    <xf numFmtId="169" fontId="23" fillId="0" borderId="0" xfId="0" applyNumberFormat="1" applyFont="1" applyBorder="1" applyAlignment="1"/>
    <xf numFmtId="170" fontId="23" fillId="0" borderId="0" xfId="0" applyNumberFormat="1" applyFont="1" applyBorder="1" applyAlignment="1"/>
    <xf numFmtId="170" fontId="23" fillId="0" borderId="0" xfId="0" applyNumberFormat="1" applyFont="1" applyBorder="1" applyAlignment="1">
      <alignment horizontal="right"/>
    </xf>
    <xf numFmtId="170" fontId="11" fillId="0" borderId="0" xfId="0" applyNumberFormat="1" applyFont="1" applyBorder="1" applyAlignment="1"/>
    <xf numFmtId="168" fontId="2" fillId="0" borderId="0" xfId="4" applyNumberFormat="1" applyFont="1" applyFill="1"/>
    <xf numFmtId="3" fontId="11" fillId="0" borderId="1" xfId="0" applyNumberFormat="1" applyFont="1" applyBorder="1"/>
    <xf numFmtId="164" fontId="11" fillId="0" borderId="0" xfId="0" applyNumberFormat="1" applyFont="1" applyFill="1"/>
    <xf numFmtId="3" fontId="11" fillId="0" borderId="0" xfId="3" applyNumberFormat="1" applyFont="1" applyFill="1"/>
    <xf numFmtId="3" fontId="11" fillId="0" borderId="0" xfId="3" applyNumberFormat="1" applyFont="1"/>
    <xf numFmtId="0" fontId="3" fillId="0" borderId="0" xfId="0" applyFont="1" applyFill="1" applyAlignment="1" applyProtection="1">
      <alignment horizontal="centerContinuous"/>
      <protection locked="0" hidden="1"/>
    </xf>
    <xf numFmtId="9" fontId="3" fillId="0" borderId="0" xfId="5" applyFont="1" applyFill="1" applyAlignment="1" applyProtection="1">
      <alignment horizontal="centerContinuous"/>
      <protection locked="0" hidden="1"/>
    </xf>
    <xf numFmtId="168" fontId="2" fillId="0" borderId="1" xfId="4" applyNumberFormat="1" applyFont="1" applyFill="1" applyBorder="1" applyAlignment="1">
      <alignment horizontal="center" vertical="center"/>
    </xf>
    <xf numFmtId="4" fontId="12" fillId="0" borderId="9" xfId="0" applyNumberFormat="1" applyFont="1" applyBorder="1" applyAlignment="1"/>
    <xf numFmtId="0" fontId="0" fillId="0" borderId="2" xfId="0" applyBorder="1" applyAlignment="1"/>
    <xf numFmtId="0" fontId="0" fillId="0" borderId="10" xfId="0" applyBorder="1" applyAlignment="1"/>
    <xf numFmtId="168" fontId="12" fillId="0" borderId="1" xfId="0" applyNumberFormat="1" applyFont="1" applyBorder="1" applyAlignment="1">
      <alignment horizontal="center"/>
    </xf>
    <xf numFmtId="0" fontId="1" fillId="0" borderId="9" xfId="0" applyFont="1" applyBorder="1"/>
    <xf numFmtId="0" fontId="1" fillId="0" borderId="10" xfId="0" applyFont="1" applyBorder="1"/>
    <xf numFmtId="0" fontId="2" fillId="0" borderId="11" xfId="1" applyBorder="1" applyAlignment="1">
      <alignment horizontal="center"/>
    </xf>
    <xf numFmtId="164" fontId="2" fillId="0" borderId="12" xfId="0" applyNumberFormat="1" applyFont="1" applyBorder="1"/>
    <xf numFmtId="0" fontId="2" fillId="0" borderId="13" xfId="1" applyBorder="1" applyAlignment="1">
      <alignment horizontal="center"/>
    </xf>
    <xf numFmtId="164" fontId="2" fillId="0" borderId="1" xfId="0" applyNumberFormat="1" applyFont="1" applyBorder="1"/>
    <xf numFmtId="164" fontId="2" fillId="0" borderId="14" xfId="0" applyNumberFormat="1" applyFont="1" applyBorder="1"/>
    <xf numFmtId="0" fontId="13" fillId="0" borderId="11" xfId="0" applyFont="1" applyBorder="1" applyAlignment="1">
      <alignment horizontal="center"/>
    </xf>
    <xf numFmtId="0" fontId="13" fillId="0" borderId="12" xfId="0" applyFont="1" applyBorder="1" applyAlignment="1">
      <alignment horizontal="center"/>
    </xf>
    <xf numFmtId="0" fontId="2" fillId="0" borderId="9" xfId="1" applyBorder="1" applyAlignment="1">
      <alignment horizontal="center"/>
    </xf>
    <xf numFmtId="164" fontId="2" fillId="0" borderId="2" xfId="0" applyNumberFormat="1" applyFont="1" applyBorder="1"/>
    <xf numFmtId="164" fontId="2" fillId="0" borderId="10" xfId="0" applyNumberFormat="1" applyFont="1" applyBorder="1"/>
    <xf numFmtId="164" fontId="11" fillId="0" borderId="2" xfId="0" applyNumberFormat="1" applyFont="1" applyBorder="1"/>
    <xf numFmtId="164" fontId="11" fillId="0" borderId="0" xfId="0" applyNumberFormat="1" applyFont="1" applyBorder="1"/>
    <xf numFmtId="164" fontId="11" fillId="0" borderId="1" xfId="0" applyNumberFormat="1" applyFont="1" applyBorder="1"/>
    <xf numFmtId="174" fontId="11" fillId="0" borderId="0" xfId="6" applyNumberFormat="1" applyFont="1" applyFill="1" applyAlignment="1">
      <alignment horizontal="distributed"/>
    </xf>
    <xf numFmtId="168" fontId="11" fillId="0" borderId="0" xfId="4" applyNumberFormat="1" applyFont="1"/>
    <xf numFmtId="168" fontId="2" fillId="0" borderId="0" xfId="4" applyNumberFormat="1" applyFont="1"/>
    <xf numFmtId="3" fontId="23" fillId="0" borderId="0" xfId="0" applyNumberFormat="1" applyFont="1"/>
    <xf numFmtId="168" fontId="7" fillId="0" borderId="0" xfId="4" applyNumberFormat="1" applyFont="1"/>
    <xf numFmtId="43" fontId="2" fillId="0" borderId="0" xfId="6" applyNumberFormat="1" applyFont="1"/>
    <xf numFmtId="175" fontId="2" fillId="0" borderId="0" xfId="6" applyNumberFormat="1" applyFont="1"/>
    <xf numFmtId="175" fontId="11" fillId="0" borderId="0" xfId="6" applyNumberFormat="1" applyFont="1"/>
    <xf numFmtId="168" fontId="23" fillId="0" borderId="0" xfId="4" applyNumberFormat="1" applyFont="1"/>
    <xf numFmtId="10" fontId="2" fillId="0" borderId="0" xfId="4" applyNumberFormat="1" applyFont="1" applyFill="1" applyBorder="1" applyAlignment="1">
      <alignment horizontal="center" vertical="center"/>
    </xf>
    <xf numFmtId="0" fontId="2" fillId="0" borderId="0" xfId="0" applyFont="1" applyBorder="1" applyProtection="1">
      <protection locked="0" hidden="1"/>
    </xf>
    <xf numFmtId="0" fontId="4" fillId="0" borderId="9" xfId="0" applyFont="1" applyBorder="1" applyAlignment="1" applyProtection="1">
      <alignment horizontal="center"/>
      <protection locked="0" hidden="1"/>
    </xf>
    <xf numFmtId="0" fontId="4" fillId="0" borderId="2" xfId="0" applyFont="1" applyBorder="1" applyAlignment="1" applyProtection="1">
      <alignment horizontal="center"/>
      <protection locked="0" hidden="1"/>
    </xf>
    <xf numFmtId="0" fontId="4" fillId="0" borderId="10" xfId="0" applyFont="1" applyBorder="1" applyAlignment="1" applyProtection="1">
      <alignment horizontal="center"/>
      <protection locked="0" hidden="1"/>
    </xf>
    <xf numFmtId="0" fontId="2" fillId="0" borderId="11" xfId="0" applyFont="1" applyBorder="1" applyProtection="1">
      <protection locked="0" hidden="1"/>
    </xf>
    <xf numFmtId="0" fontId="2" fillId="0" borderId="12" xfId="0" applyFont="1" applyBorder="1" applyProtection="1">
      <protection locked="0" hidden="1"/>
    </xf>
    <xf numFmtId="168" fontId="11" fillId="0" borderId="13" xfId="0" applyNumberFormat="1" applyFont="1" applyFill="1" applyBorder="1" applyAlignment="1" applyProtection="1">
      <alignment horizontal="center"/>
      <protection locked="0" hidden="1"/>
    </xf>
    <xf numFmtId="168" fontId="11" fillId="0" borderId="1" xfId="0" applyNumberFormat="1" applyFont="1" applyFill="1" applyBorder="1" applyAlignment="1" applyProtection="1">
      <alignment horizontal="center"/>
      <protection locked="0" hidden="1"/>
    </xf>
    <xf numFmtId="168" fontId="2" fillId="0" borderId="14" xfId="0" applyNumberFormat="1" applyFont="1" applyFill="1" applyBorder="1" applyAlignment="1" applyProtection="1">
      <alignment horizontal="center"/>
      <protection locked="0" hidden="1"/>
    </xf>
    <xf numFmtId="0" fontId="2" fillId="0" borderId="0" xfId="1" applyFont="1" applyAlignment="1">
      <alignment wrapText="1"/>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wrapText="1"/>
    </xf>
    <xf numFmtId="0" fontId="17" fillId="0" borderId="0" xfId="0" applyFont="1" applyAlignment="1"/>
    <xf numFmtId="0" fontId="2" fillId="0" borderId="1"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xf numFmtId="0" fontId="4" fillId="0" borderId="0" xfId="0" applyFont="1"/>
    <xf numFmtId="0" fontId="0" fillId="0" borderId="1" xfId="0" applyBorder="1" applyAlignment="1"/>
    <xf numFmtId="0" fontId="2" fillId="0" borderId="0" xfId="1" applyFont="1" applyFill="1" applyAlignment="1">
      <alignment horizontal="left" vertical="top" wrapText="1"/>
    </xf>
    <xf numFmtId="0" fontId="3" fillId="0" borderId="0" xfId="1" applyFont="1" applyFill="1" applyAlignment="1">
      <alignment horizontal="center" wrapText="1"/>
    </xf>
    <xf numFmtId="0" fontId="12" fillId="0" borderId="0" xfId="0" applyFont="1" applyFill="1" applyBorder="1" applyAlignment="1">
      <alignment horizontal="center"/>
    </xf>
    <xf numFmtId="0" fontId="2" fillId="0" borderId="0" xfId="1" applyFont="1" applyFill="1"/>
    <xf numFmtId="0" fontId="2" fillId="0" borderId="0" xfId="0" applyFont="1" applyFill="1" applyAlignment="1">
      <alignment horizontal="left" vertical="top" wrapText="1"/>
    </xf>
    <xf numFmtId="0" fontId="3" fillId="0" borderId="0" xfId="0" applyFont="1" applyFill="1" applyAlignment="1">
      <alignment horizontal="center"/>
    </xf>
    <xf numFmtId="0" fontId="2" fillId="0" borderId="1" xfId="0" applyFont="1" applyFill="1" applyBorder="1" applyAlignment="1">
      <alignment horizontal="center"/>
    </xf>
    <xf numFmtId="0" fontId="3" fillId="0" borderId="1" xfId="0" applyFont="1" applyFill="1" applyBorder="1" applyAlignment="1">
      <alignment horizontal="center"/>
    </xf>
    <xf numFmtId="0" fontId="2" fillId="0" borderId="8" xfId="0" applyFont="1" applyFill="1" applyBorder="1" applyAlignment="1">
      <alignment horizontal="center"/>
    </xf>
    <xf numFmtId="0" fontId="2" fillId="0" borderId="15" xfId="0" applyFont="1" applyBorder="1" applyAlignment="1">
      <alignment horizontal="center"/>
    </xf>
    <xf numFmtId="0" fontId="17" fillId="0" borderId="8" xfId="0" applyFont="1" applyBorder="1" applyAlignment="1">
      <alignment horizontal="center"/>
    </xf>
    <xf numFmtId="0" fontId="17" fillId="0" borderId="16" xfId="0" applyFont="1" applyBorder="1" applyAlignment="1">
      <alignment horizontal="center"/>
    </xf>
    <xf numFmtId="164" fontId="3" fillId="0" borderId="0" xfId="0" applyNumberFormat="1" applyFont="1" applyAlignment="1">
      <alignment horizontal="center"/>
    </xf>
    <xf numFmtId="0" fontId="2" fillId="0" borderId="0" xfId="0" applyFont="1" applyAlignment="1">
      <alignment vertical="top" wrapText="1"/>
    </xf>
    <xf numFmtId="0" fontId="2" fillId="0" borderId="0" xfId="0" applyFont="1" applyAlignment="1"/>
    <xf numFmtId="0" fontId="2" fillId="0" borderId="0" xfId="0" applyFont="1" applyFill="1" applyAlignment="1">
      <alignment vertical="top" wrapText="1"/>
    </xf>
    <xf numFmtId="0" fontId="2" fillId="0" borderId="0" xfId="0" applyFont="1" applyAlignment="1">
      <alignment wrapText="1"/>
    </xf>
    <xf numFmtId="2" fontId="2" fillId="0" borderId="0" xfId="0" applyNumberFormat="1" applyFont="1" applyFill="1" applyAlignment="1">
      <alignment wrapText="1"/>
    </xf>
    <xf numFmtId="0" fontId="2" fillId="0" borderId="1" xfId="3" applyFont="1" applyBorder="1" applyAlignment="1">
      <alignment horizontal="center"/>
    </xf>
    <xf numFmtId="0" fontId="2" fillId="0" borderId="0" xfId="3" applyFont="1" applyAlignment="1">
      <alignment horizontal="center"/>
    </xf>
    <xf numFmtId="4" fontId="12" fillId="0" borderId="15" xfId="0" applyNumberFormat="1" applyFont="1" applyFill="1" applyBorder="1" applyAlignment="1">
      <alignment horizontal="center"/>
    </xf>
    <xf numFmtId="0" fontId="0" fillId="0" borderId="8" xfId="0" applyFill="1" applyBorder="1" applyAlignment="1">
      <alignment horizontal="center"/>
    </xf>
    <xf numFmtId="0" fontId="0" fillId="0" borderId="16" xfId="0" applyFill="1" applyBorder="1" applyAlignment="1">
      <alignment horizontal="center"/>
    </xf>
    <xf numFmtId="0" fontId="2" fillId="0" borderId="0" xfId="0" applyFont="1" applyAlignment="1" applyProtection="1">
      <alignment vertical="top" wrapText="1"/>
      <protection locked="0" hidden="1"/>
    </xf>
    <xf numFmtId="0" fontId="17" fillId="0" borderId="0" xfId="0" applyFont="1" applyAlignment="1">
      <alignment horizontal="left" vertical="top" wrapText="1"/>
    </xf>
  </cellXfs>
  <cellStyles count="11">
    <cellStyle name="Comma" xfId="6" builtinId="3"/>
    <cellStyle name="Comma 2" xfId="9"/>
    <cellStyle name="Normal" xfId="0" builtinId="0"/>
    <cellStyle name="Normal 2" xfId="1"/>
    <cellStyle name="Normal 3" xfId="2"/>
    <cellStyle name="Normal 3 2" xfId="10"/>
    <cellStyle name="Normal 5" xfId="3"/>
    <cellStyle name="Normal 5 2" xfId="7"/>
    <cellStyle name="Percent" xfId="4" builtinId="5"/>
    <cellStyle name="Percent 2 2" xfId="5"/>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419100</xdr:colOff>
      <xdr:row>44</xdr:row>
      <xdr:rowOff>0</xdr:rowOff>
    </xdr:from>
    <xdr:to>
      <xdr:col>11</xdr:col>
      <xdr:colOff>19050</xdr:colOff>
      <xdr:row>45</xdr:row>
      <xdr:rowOff>0</xdr:rowOff>
    </xdr:to>
    <xdr:sp macro="" textlink="">
      <xdr:nvSpPr>
        <xdr:cNvPr id="2" name="Text Box 6">
          <a:extLst>
            <a:ext uri="{FF2B5EF4-FFF2-40B4-BE49-F238E27FC236}">
              <a16:creationId xmlns:a16="http://schemas.microsoft.com/office/drawing/2014/main" id="{00000000-0008-0000-1900-000002000000}"/>
            </a:ext>
          </a:extLst>
        </xdr:cNvPr>
        <xdr:cNvSpPr txBox="1">
          <a:spLocks noChangeArrowheads="1"/>
        </xdr:cNvSpPr>
      </xdr:nvSpPr>
      <xdr:spPr bwMode="auto">
        <a:xfrm>
          <a:off x="2076450" y="6410325"/>
          <a:ext cx="2924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Selected Indemnity Severity Trend:</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104775</xdr:colOff>
      <xdr:row>23</xdr:row>
      <xdr:rowOff>0</xdr:rowOff>
    </xdr:from>
    <xdr:to>
      <xdr:col>14</xdr:col>
      <xdr:colOff>333375</xdr:colOff>
      <xdr:row>23</xdr:row>
      <xdr:rowOff>0</xdr:rowOff>
    </xdr:to>
    <xdr:sp macro="" textlink="">
      <xdr:nvSpPr>
        <xdr:cNvPr id="4" name="Text Box 14">
          <a:extLst>
            <a:ext uri="{FF2B5EF4-FFF2-40B4-BE49-F238E27FC236}">
              <a16:creationId xmlns:a16="http://schemas.microsoft.com/office/drawing/2014/main" id="{00000000-0008-0000-2000-000004000000}"/>
            </a:ext>
          </a:extLst>
        </xdr:cNvPr>
        <xdr:cNvSpPr txBox="1">
          <a:spLocks noChangeArrowheads="1"/>
        </xdr:cNvSpPr>
      </xdr:nvSpPr>
      <xdr:spPr bwMode="auto">
        <a:xfrm>
          <a:off x="6124575" y="375285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1000R/June19/9-3-2019%20Agenda/Loss%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Loss%20Analysis\2017%202Q\Working%20Version%20-%20for%209-5-17%20Agenda\CW\Exhibits%201-8%20and%20Alt%20Methods%20Quarterly%20Loss%20Analysis%20-%209-5-2017%20Agend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ared/CWong%20Shared%20Files/Project%20Challenge%20Accepted/Main%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lusions"/>
      <sheetName val="All Source Data"/>
      <sheetName val="Source Data for Med Rfm Adj"/>
      <sheetName val="Market Share"/>
      <sheetName val="Historical Data-Freeze"/>
      <sheetName val="Exhibit 1"/>
      <sheetName val="Exhibit 2.1 Data"/>
      <sheetName val="Exhibit 2.1"/>
      <sheetName val="Exhibit 2.2 Data"/>
      <sheetName val="Exhibit 2.2"/>
      <sheetName val="Exhibit 2.3 Data"/>
      <sheetName val="Exhibit 2.3"/>
      <sheetName val="Exhibit 2.4 Data"/>
      <sheetName val="Exhibit 2.4 Pharm Adj"/>
      <sheetName val="SB1160 Lien Adj"/>
      <sheetName val="Exhibit 2.4"/>
      <sheetName val="Exh2.5 Agenda_Regular Method"/>
      <sheetName val="Exh2.5 Agenda_BS Method"/>
      <sheetName val="Exh2.6 Agenda_Regular Method"/>
      <sheetName val="Exh2.6 Agenda - BS"/>
      <sheetName val="Exhibit 3"/>
      <sheetName val="Exhibit 4.1"/>
      <sheetName val="Exhibit 4.2"/>
      <sheetName val="Chg in Med CPI for Exh 4.2"/>
      <sheetName val="Exhibit 4.3"/>
      <sheetName val="Exhibit 4.4"/>
      <sheetName val="Exhibit 5.1"/>
      <sheetName val="Exhibit 5.2"/>
      <sheetName val="Exh 5.2_Prem Earned Out"/>
      <sheetName val="Exhibit 6.1"/>
      <sheetName val="Exhibit 6.2"/>
      <sheetName val="Exhibit 6.3"/>
      <sheetName val="Exhibit 6.3_Inc MCCP"/>
      <sheetName val="Exh6.3_MO LDF"/>
      <sheetName val="Exhibit 6.4 Data"/>
      <sheetName val="Exhibit 6.4"/>
      <sheetName val="Exhibit 7.1"/>
      <sheetName val="Exhibit 7.2"/>
      <sheetName val="Exhibit 7.3"/>
      <sheetName val="Exhibit 7.4"/>
      <sheetName val="Exhibit 8"/>
      <sheetName val="Exhibit 9"/>
      <sheetName val="Exhibit 10"/>
      <sheetName val="Exhibit 11.1-11.2"/>
      <sheetName val="Exhibit 11.3"/>
      <sheetName val="Pivot-All Insurers"/>
      <sheetName val="For Slides"/>
    </sheetNames>
    <sheetDataSet>
      <sheetData sheetId="0"/>
      <sheetData sheetId="1"/>
      <sheetData sheetId="2"/>
      <sheetData sheetId="3">
        <row r="1">
          <cell r="E1">
            <v>2016</v>
          </cell>
        </row>
      </sheetData>
      <sheetData sheetId="4"/>
      <sheetData sheetId="5">
        <row r="2">
          <cell r="E2">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h1 Agenda"/>
      <sheetName val="Exh2_1"/>
      <sheetName val="Exh2.1 Agenda"/>
      <sheetName val="Exh2_2"/>
      <sheetName val="Exh2.2 Agenda"/>
      <sheetName val="Exh2_3_x SB863"/>
      <sheetName val="Exh2_3_Selected"/>
      <sheetName val="Exh2.3 Agenda"/>
      <sheetName val="Exh2_4"/>
      <sheetName val="Exh2_4_Selected"/>
      <sheetName val="Ex 2.4 Data"/>
      <sheetName val="Exh2.4 Agenda"/>
      <sheetName val="Exh2.5 Agenda"/>
      <sheetName val="Exh2.6 Agenda"/>
      <sheetName val="Exh2.5 Agenda - BS"/>
      <sheetName val="Exh2.6 Agenda - BS"/>
      <sheetName val="Exh3.1 Paid BS Latest Yr Agenda"/>
      <sheetName val="Exh3.2 Paid BS Latest Yr Agenda"/>
      <sheetName val="OAG Factors"/>
      <sheetName val="Exh4_1(without PDRS)"/>
      <sheetName val="Exh3.2 Agenda"/>
      <sheetName val="Exh4.1 Agenda"/>
      <sheetName val="Exh_4_1_No_Freq_&amp;_Ref_Impact"/>
      <sheetName val="Exh4.2_full impact Reforms"/>
      <sheetName val="Exh4.2 Agenda"/>
      <sheetName val="Exh_4.4 No_Freq_Impact Proj"/>
      <sheetName val="Restructure Exh_4_Medical"/>
      <sheetName val="Exh4.3 Agenda"/>
      <sheetName val="Exh_4.4 full impact Reforms"/>
      <sheetName val="Exh4.4 Agenda"/>
      <sheetName val="Exh_4.4 No_Freq_Impact"/>
      <sheetName val="Exh_4.4_wth SB863_Sev_Only"/>
      <sheetName val="Exh_4.3 wth SB863 Severity Only"/>
      <sheetName val="Exh_4.4 wth SB863 Severity Only"/>
      <sheetName val="Medical Legal 7_16_1993"/>
      <sheetName val="IHFS"/>
      <sheetName val="Exh5.1 Agenda"/>
      <sheetName val="Exh5.2_for_1-1-13_Filing_x_wage"/>
      <sheetName val="Exh5.2 - Unadj for Indust Avg"/>
      <sheetName val="Exh5.2_Adj for Industry Avg"/>
      <sheetName val="Exh_7.1_Paid_BS_Latest_Yr"/>
      <sheetName val="Exhibit 7.2 - BS Method"/>
      <sheetName val="Exh_7.3_Paid_BS__Latest_Yr"/>
      <sheetName val="Exhibit 7.4 - BS Method"/>
      <sheetName val="Exh8 Agenda"/>
      <sheetName val="Exh3.1 Agenda"/>
      <sheetName val="Summary_of_Alts"/>
      <sheetName val="Exh3Incurred3YrAve"/>
      <sheetName val="Exh7.1_ Incurred3YrAve"/>
      <sheetName val="Exh7.3_ Incurred3YrAve"/>
      <sheetName val="Exh7.3_ Incrd3YrAve-For Mark "/>
      <sheetName val="Exh3IncurredLatestYear"/>
      <sheetName val="Exh7.1_IncurredLatYr"/>
      <sheetName val="Exh7.3_ IncurredLatYr"/>
      <sheetName val="Exh7.3_ IncredLatYr-For Mark"/>
      <sheetName val="Exh3IncurredLatestYearReformAdj"/>
      <sheetName val="Exh7.1_IncurredLatYrReformAdj"/>
      <sheetName val="Exh7.3_ IncurredLatYrReformAdj"/>
      <sheetName val="Exh3_Incurred_BS_Method"/>
      <sheetName val="Exh7.1_Incurred_BS_Ind"/>
      <sheetName val="Exh7.3_Incurred_BS_Med"/>
      <sheetName val="Exh3_Inc_BS_Method-3yr Avg"/>
      <sheetName val="Exh7.1_Incurred_BS_Ind-3yr Avg"/>
      <sheetName val="Exh7.3_Incurred_BS_Med-3yr Avg"/>
      <sheetName val="Exh3_UnadjPaid_3YrAve"/>
      <sheetName val="Exh7.1_ UnadjPaid_3YrAve"/>
      <sheetName val="Exh7.3_ Unadj_Paid_3YrAve"/>
      <sheetName val="Exh3_Unadj_Paid_Latest_Year"/>
      <sheetName val="Exh7.1_Unadj_Paid_Latest_Year"/>
      <sheetName val="Exh7.3_Unadj_Paid_Latest_Year"/>
      <sheetName val="Exh3_Paid_Latest_Year_375"/>
      <sheetName val="Exh7.1_Paid_Latest_Year_375"/>
      <sheetName val="Exh7.3_Paid_Latest_Year_375"/>
      <sheetName val="Exh3_Latest Yr Pd Reform Adj"/>
      <sheetName val="Exh7.1_Latest Yr Pd Reform Adj"/>
      <sheetName val="Exh7.3_Latest Yr Pd Reform Adj"/>
      <sheetName val="Exh3_Paid_BS_3-Yr Avg"/>
      <sheetName val="Exh_7.1_Paid_BS_3-Yr Avg"/>
      <sheetName val="Exh_7.3_Paid_BS_3-Yr Avg"/>
      <sheetName val="Exh3_Paid_BS_Latest_Year"/>
      <sheetName val="Exh_7.1_Trend_Latest_Year"/>
      <sheetName val="Exh_7.3_Trend_Latest_Year"/>
      <sheetName val="Exh_7.1_Trend_Ind Avg Severity"/>
      <sheetName val="Exh_7.3_Trend_Med Avg Severity"/>
      <sheetName val="Post_05_LR Trend_Exh_7.1"/>
      <sheetName val="Post_05_LR Trend_Exh_7.3"/>
      <sheetName val="5Yr_LR Trend_Exh_7.1"/>
      <sheetName val="5Yr_LR Trend_Exh_7.3"/>
      <sheetName val="5Yr_LR Fitted Trend_Exh_7.1"/>
      <sheetName val="5Yr_LR Fitted Trend_Exh_7.3"/>
      <sheetName val="Exh2_3_SB863_BS_Method_Avg"/>
      <sheetName val="Exh3_Selected_w Ult351Inc Tail"/>
      <sheetName val="Exh_7.1_Select_w_Ult351Inc Tail"/>
      <sheetName val="Exh_7.3_Select_w_Ult351Inc_Tail"/>
      <sheetName val="Exh3_Reforms_SB863_RBRVS_Only"/>
      <sheetName val="Exh_7.1_Reforms_SB863_RBRVS_Onl"/>
      <sheetName val="Exh_7.3_Reforms_SB863_RBRVS_Onl"/>
      <sheetName val="Exh7.1_Paid_BF_to_27_CL_to_Ult"/>
      <sheetName val="Exh7.3_Paid_BF_to_27_CL_to_Ult"/>
      <sheetName val="Exh2_3_BS_x_Reforms "/>
      <sheetName val="Exh2_4_BS_x_Reforms"/>
      <sheetName val="Exh3_Paid_BS_x_Reforms"/>
      <sheetName val="Exh_7.1_Paid_BS_x_Reforms"/>
      <sheetName val="Exh_7.1_SB863+Post10LR Trend"/>
      <sheetName val="Exh_7.3_SB863+Post10LR Trend"/>
      <sheetName val="Post_08_Sev_Trend_Exh_7.1 "/>
      <sheetName val="Post_08_Sev_Trend_Exh_7.3 "/>
      <sheetName val="Exh_4.4 SB863 + 2.5%MoreSB863"/>
      <sheetName val="Exh_7.3_Trend_+ 2.5% xtra SB863"/>
      <sheetName val="Post_08_Sev_Trend_Exh_7.1"/>
      <sheetName val="Post_08_Sev_Trend_Exh_7.3"/>
      <sheetName val="Exh7.1_Avg Exp_&amp;_FullConst_Trd"/>
      <sheetName val="Exh7.3_Avg Exp_&amp;_FullConst_Trd"/>
      <sheetName val="Exh_7.1_Mod_Freq_notempconst"/>
      <sheetName val="Exh_7.3_Mod_Freq_notempconst"/>
      <sheetName val="Exh_7.1_Avg_Trd1_&amp;_Trd3"/>
      <sheetName val="Exh_7.3_Avg_Trd1_&amp;_Trd3"/>
      <sheetName val="Exh_4.4 with SB863 CDI Method"/>
      <sheetName val="Exh_7.3_CDI_Trend"/>
      <sheetName val="Exh3 Pd 3 yr-ave (Unadj)"/>
      <sheetName val="Exh7.1_Pd 3YrAvg"/>
      <sheetName val="Exh3Pd_LatestYr_Unadj"/>
      <sheetName val="Exh7.1Pd_LatestYr_Unadj"/>
      <sheetName val="Post_04_Trend_no_wage_Exh_7.1"/>
      <sheetName val="Post_04_Trend_no_wage_Exh_7.3"/>
      <sheetName val="ExpTrend2_4(1)"/>
    </sheetNames>
    <sheetDataSet>
      <sheetData sheetId="0"/>
      <sheetData sheetId="1"/>
      <sheetData sheetId="2">
        <row r="43">
          <cell r="I43">
            <v>1.004</v>
          </cell>
        </row>
      </sheetData>
      <sheetData sheetId="3"/>
      <sheetData sheetId="4">
        <row r="42">
          <cell r="I42">
            <v>1.0309999999999999</v>
          </cell>
        </row>
      </sheetData>
      <sheetData sheetId="5"/>
      <sheetData sheetId="6"/>
      <sheetData sheetId="7">
        <row r="6">
          <cell r="AJ6">
            <v>2017</v>
          </cell>
          <cell r="AL6" t="str">
            <v>Pd 18/6</v>
          </cell>
          <cell r="AM6">
            <v>9.9090000000000007</v>
          </cell>
          <cell r="AN6" t="str">
            <v>Ult/8/6Pd</v>
          </cell>
          <cell r="AO6">
            <v>50.373749493460302</v>
          </cell>
          <cell r="AP6">
            <v>53.385092238179361</v>
          </cell>
        </row>
        <row r="7">
          <cell r="AJ7">
            <v>2016</v>
          </cell>
          <cell r="AK7">
            <v>0</v>
          </cell>
          <cell r="AL7" t="str">
            <v>Pd 30/18</v>
          </cell>
          <cell r="AM7">
            <v>2.056</v>
          </cell>
          <cell r="AN7" t="str">
            <v>Ult//18Pd</v>
          </cell>
          <cell r="AO7">
            <v>5.0836360372853262</v>
          </cell>
          <cell r="AP7">
            <v>5.3875357995942421</v>
          </cell>
        </row>
        <row r="8">
          <cell r="AJ8">
            <v>2015</v>
          </cell>
          <cell r="AK8">
            <v>0</v>
          </cell>
          <cell r="AL8" t="str">
            <v>Pd 42/30</v>
          </cell>
          <cell r="AM8">
            <v>1.3959999999999999</v>
          </cell>
          <cell r="AN8" t="str">
            <v>Ult//30Pd</v>
          </cell>
          <cell r="AO8">
            <v>2.4725856212477266</v>
          </cell>
          <cell r="AP8">
            <v>2.6203967896859153</v>
          </cell>
        </row>
        <row r="9">
          <cell r="AJ9">
            <v>2014</v>
          </cell>
          <cell r="AK9">
            <v>0</v>
          </cell>
          <cell r="AL9" t="str">
            <v>Pd 54/42</v>
          </cell>
          <cell r="AM9">
            <v>1.1819999999999999</v>
          </cell>
          <cell r="AN9" t="str">
            <v>Ult//42Pd</v>
          </cell>
          <cell r="AO9">
            <v>1.7711931384296038</v>
          </cell>
          <cell r="AP9">
            <v>1.8770750642449254</v>
          </cell>
        </row>
        <row r="10">
          <cell r="AJ10">
            <v>2013</v>
          </cell>
          <cell r="AK10">
            <v>0</v>
          </cell>
          <cell r="AL10" t="str">
            <v>Pd 66/54</v>
          </cell>
          <cell r="AM10">
            <v>1.1080000000000001</v>
          </cell>
          <cell r="AN10" t="str">
            <v>Ult//54Pd</v>
          </cell>
          <cell r="AO10">
            <v>1.4984713523093096</v>
          </cell>
          <cell r="AP10">
            <v>1.5284407793554959</v>
          </cell>
        </row>
        <row r="11">
          <cell r="AJ11">
            <v>2012</v>
          </cell>
          <cell r="AK11">
            <v>0</v>
          </cell>
          <cell r="AL11" t="str">
            <v>Pd 78/66</v>
          </cell>
          <cell r="AM11">
            <v>1.069</v>
          </cell>
          <cell r="AN11" t="str">
            <v>Ult//66Pd</v>
          </cell>
          <cell r="AO11">
            <v>1.3524109677881855</v>
          </cell>
          <cell r="AP11">
            <v>1.3524109677881855</v>
          </cell>
        </row>
        <row r="12">
          <cell r="AJ12">
            <v>2011</v>
          </cell>
          <cell r="AK12">
            <v>0</v>
          </cell>
          <cell r="AL12" t="str">
            <v>Pd 90/78</v>
          </cell>
          <cell r="AM12">
            <v>1.0469999999999999</v>
          </cell>
          <cell r="AN12" t="str">
            <v>Ult//78Pd</v>
          </cell>
          <cell r="AO12">
            <v>1.2651178370329144</v>
          </cell>
          <cell r="AP12">
            <v>1.2651178370329144</v>
          </cell>
        </row>
        <row r="13">
          <cell r="AJ13">
            <v>2010</v>
          </cell>
          <cell r="AK13">
            <v>0</v>
          </cell>
          <cell r="AL13" t="str">
            <v>Pd 102/90</v>
          </cell>
          <cell r="AM13">
            <v>1.0369999999999999</v>
          </cell>
          <cell r="AN13" t="str">
            <v>Ult//90Pd</v>
          </cell>
          <cell r="AO13">
            <v>1.2083264919130032</v>
          </cell>
          <cell r="AP13">
            <v>1.2083264919130032</v>
          </cell>
        </row>
        <row r="14">
          <cell r="AJ14">
            <v>2009</v>
          </cell>
          <cell r="AK14">
            <v>0</v>
          </cell>
          <cell r="AL14" t="str">
            <v>Pd 114/102</v>
          </cell>
          <cell r="AM14">
            <v>1.024</v>
          </cell>
          <cell r="AN14" t="str">
            <v>Ult/102Pd</v>
          </cell>
          <cell r="AO14">
            <v>1.1652135891157216</v>
          </cell>
          <cell r="AP14">
            <v>1.1652135891157216</v>
          </cell>
        </row>
        <row r="15">
          <cell r="AJ15">
            <v>2008</v>
          </cell>
          <cell r="AK15">
            <v>0</v>
          </cell>
          <cell r="AL15" t="str">
            <v>Pd 126/114</v>
          </cell>
          <cell r="AM15">
            <v>1.0236666666666665</v>
          </cell>
          <cell r="AN15" t="str">
            <v>Ult/114Pd</v>
          </cell>
          <cell r="AO15">
            <v>1.1379038956208218</v>
          </cell>
          <cell r="AP15">
            <v>1.1379038956208218</v>
          </cell>
        </row>
        <row r="16">
          <cell r="AJ16">
            <v>2007</v>
          </cell>
          <cell r="AK16">
            <v>0</v>
          </cell>
          <cell r="AL16" t="str">
            <v>Pd 138/126</v>
          </cell>
          <cell r="AM16">
            <v>1.018</v>
          </cell>
          <cell r="AN16" t="str">
            <v>Ult/126Pd</v>
          </cell>
          <cell r="AO16">
            <v>1.1115961207627698</v>
          </cell>
          <cell r="AP16">
            <v>1.1115961207627698</v>
          </cell>
        </row>
        <row r="17">
          <cell r="AJ17">
            <v>2006</v>
          </cell>
          <cell r="AK17">
            <v>0</v>
          </cell>
          <cell r="AL17" t="str">
            <v>Pd 150/138</v>
          </cell>
          <cell r="AM17">
            <v>1.0136666666666667</v>
          </cell>
          <cell r="AN17" t="str">
            <v>Ult/138Pd</v>
          </cell>
          <cell r="AO17">
            <v>1.091941179531208</v>
          </cell>
          <cell r="AP17">
            <v>1.091941179531208</v>
          </cell>
        </row>
        <row r="18">
          <cell r="AJ18">
            <v>2005</v>
          </cell>
          <cell r="AK18">
            <v>0</v>
          </cell>
          <cell r="AL18" t="str">
            <v>Pd 162/150</v>
          </cell>
          <cell r="AM18">
            <v>1.0096666666666667</v>
          </cell>
          <cell r="AN18" t="str">
            <v>Ult/150Pd</v>
          </cell>
          <cell r="AO18">
            <v>1.0772191840163181</v>
          </cell>
          <cell r="AP18">
            <v>1.0772191840163181</v>
          </cell>
        </row>
        <row r="19">
          <cell r="AJ19">
            <v>2004</v>
          </cell>
          <cell r="AK19">
            <v>0</v>
          </cell>
          <cell r="AL19" t="str">
            <v>Pd 174/162</v>
          </cell>
          <cell r="AM19">
            <v>1.0076666666666667</v>
          </cell>
          <cell r="AN19" t="str">
            <v>Ult/162Pd</v>
          </cell>
          <cell r="AO19">
            <v>1.0669057616536659</v>
          </cell>
          <cell r="AP19">
            <v>1.0669057616536659</v>
          </cell>
        </row>
        <row r="20">
          <cell r="AJ20">
            <v>2003</v>
          </cell>
          <cell r="AK20">
            <v>0</v>
          </cell>
          <cell r="AL20" t="str">
            <v>Pd 186/174</v>
          </cell>
          <cell r="AM20">
            <v>1.006</v>
          </cell>
          <cell r="AN20" t="str">
            <v>Ult/174Pd</v>
          </cell>
          <cell r="AO20">
            <v>1.0587883840426719</v>
          </cell>
          <cell r="AP20">
            <v>1.0587883840426719</v>
          </cell>
        </row>
        <row r="21">
          <cell r="AJ21">
            <v>2002</v>
          </cell>
          <cell r="AK21">
            <v>0</v>
          </cell>
          <cell r="AL21" t="str">
            <v>Pd 198/186</v>
          </cell>
          <cell r="AM21">
            <v>1.0049999999999999</v>
          </cell>
          <cell r="AN21" t="str">
            <v>Ult/186Pd</v>
          </cell>
          <cell r="AO21">
            <v>1.0524735427859562</v>
          </cell>
          <cell r="AP21">
            <v>1.0524735427859562</v>
          </cell>
        </row>
        <row r="22">
          <cell r="AJ22">
            <v>2001</v>
          </cell>
          <cell r="AK22">
            <v>0</v>
          </cell>
          <cell r="AL22" t="str">
            <v>Pd 210/198</v>
          </cell>
          <cell r="AM22">
            <v>1.0046666666666666</v>
          </cell>
          <cell r="AN22" t="str">
            <v>Ult/198Pd</v>
          </cell>
          <cell r="AO22">
            <v>1.0472373560059267</v>
          </cell>
          <cell r="AP22">
            <v>1.0472373560059267</v>
          </cell>
        </row>
        <row r="23">
          <cell r="AJ23">
            <v>2000</v>
          </cell>
          <cell r="AK23">
            <v>0</v>
          </cell>
          <cell r="AL23" t="str">
            <v>Pd 222/210</v>
          </cell>
          <cell r="AM23">
            <v>1.0043333333333333</v>
          </cell>
          <cell r="AN23" t="str">
            <v>Ult/210Pd</v>
          </cell>
          <cell r="AO23">
            <v>1.0423729489110087</v>
          </cell>
          <cell r="AP23">
            <v>1.0423729489110087</v>
          </cell>
        </row>
        <row r="24">
          <cell r="AJ24">
            <v>1999</v>
          </cell>
          <cell r="AK24">
            <v>0</v>
          </cell>
          <cell r="AL24" t="str">
            <v>Pd 234/222</v>
          </cell>
          <cell r="AM24">
            <v>1.0036666666666665</v>
          </cell>
          <cell r="AN24" t="str">
            <v>Ult/222Pd</v>
          </cell>
          <cell r="AO24">
            <v>1.0378754884610111</v>
          </cell>
          <cell r="AP24">
            <v>1.0378754884610111</v>
          </cell>
        </row>
        <row r="25">
          <cell r="AJ25">
            <v>1998</v>
          </cell>
          <cell r="AK25">
            <v>0</v>
          </cell>
          <cell r="AL25" t="str">
            <v>Inc 246/234</v>
          </cell>
          <cell r="AM25">
            <v>1.0006666666666666</v>
          </cell>
          <cell r="AN25" t="str">
            <v>Ult/234Inc</v>
          </cell>
          <cell r="AO25">
            <v>1.0095188880763055</v>
          </cell>
          <cell r="AP25">
            <v>1.0095188880763055</v>
          </cell>
        </row>
        <row r="26">
          <cell r="AJ26">
            <v>1997</v>
          </cell>
          <cell r="AK26">
            <v>0</v>
          </cell>
          <cell r="AL26" t="str">
            <v>Inc 258/246</v>
          </cell>
          <cell r="AM26">
            <v>1.0006666666666666</v>
          </cell>
          <cell r="AN26" t="str">
            <v>Ult/246Inc</v>
          </cell>
          <cell r="AO26">
            <v>1.0088463238603986</v>
          </cell>
          <cell r="AP26">
            <v>1.0088463238603986</v>
          </cell>
        </row>
        <row r="27">
          <cell r="AJ27">
            <v>1996</v>
          </cell>
          <cell r="AK27">
            <v>0</v>
          </cell>
          <cell r="AL27" t="str">
            <v>Inc 270/258</v>
          </cell>
          <cell r="AM27">
            <v>1.0004999999999999</v>
          </cell>
          <cell r="AN27" t="str">
            <v>Ult/258Inc</v>
          </cell>
          <cell r="AO27">
            <v>1.0081742077219173</v>
          </cell>
          <cell r="AP27">
            <v>1.0081742077219173</v>
          </cell>
        </row>
        <row r="28">
          <cell r="AJ28">
            <v>1995</v>
          </cell>
          <cell r="AK28">
            <v>0</v>
          </cell>
          <cell r="AL28" t="str">
            <v>Inc 282/270</v>
          </cell>
          <cell r="AM28">
            <v>1</v>
          </cell>
          <cell r="AN28" t="str">
            <v>Ult/270Inc</v>
          </cell>
          <cell r="AO28">
            <v>1.0076703725356495</v>
          </cell>
          <cell r="AP28">
            <v>1.0076703725356495</v>
          </cell>
        </row>
        <row r="29">
          <cell r="AJ29">
            <v>1994</v>
          </cell>
          <cell r="AK29">
            <v>0</v>
          </cell>
          <cell r="AL29" t="str">
            <v>Inc 294/282</v>
          </cell>
          <cell r="AM29">
            <v>1.0006666666666666</v>
          </cell>
          <cell r="AN29" t="str">
            <v>Ult/282Inc</v>
          </cell>
          <cell r="AO29">
            <v>1.0076703725356495</v>
          </cell>
          <cell r="AP29">
            <v>1.0076703725356495</v>
          </cell>
        </row>
        <row r="30">
          <cell r="AJ30">
            <v>1993</v>
          </cell>
          <cell r="AK30">
            <v>0</v>
          </cell>
          <cell r="AL30" t="str">
            <v>Inc 306/294</v>
          </cell>
          <cell r="AM30">
            <v>1.0003333333333333</v>
          </cell>
          <cell r="AN30" t="str">
            <v>Ult/294Inc</v>
          </cell>
          <cell r="AO30">
            <v>1.0069990398424213</v>
          </cell>
          <cell r="AP30">
            <v>1.0069990398424213</v>
          </cell>
        </row>
        <row r="31">
          <cell r="AJ31">
            <v>1992</v>
          </cell>
          <cell r="AK31">
            <v>0</v>
          </cell>
          <cell r="AL31" t="str">
            <v>Inc 318/306</v>
          </cell>
          <cell r="AM31">
            <v>1.0004999999999999</v>
          </cell>
          <cell r="AN31" t="str">
            <v>Ult/306Inc</v>
          </cell>
          <cell r="AO31">
            <v>1.0066634853473055</v>
          </cell>
          <cell r="AP31">
            <v>1.0066634853473055</v>
          </cell>
        </row>
        <row r="32">
          <cell r="AJ32">
            <v>1991</v>
          </cell>
          <cell r="AK32">
            <v>0</v>
          </cell>
          <cell r="AL32" t="str">
            <v>Inc 330/318</v>
          </cell>
          <cell r="AM32">
            <v>1.0006666666666666</v>
          </cell>
          <cell r="AN32" t="str">
            <v>Ult/318Inc</v>
          </cell>
          <cell r="AO32">
            <v>1.0061604051447333</v>
          </cell>
          <cell r="AP32">
            <v>1.0061604051447333</v>
          </cell>
        </row>
        <row r="33">
          <cell r="AJ33">
            <v>1990</v>
          </cell>
          <cell r="AK33">
            <v>0</v>
          </cell>
          <cell r="AL33" t="str">
            <v>Inc 342/330</v>
          </cell>
          <cell r="AM33">
            <v>1.0003333333333333</v>
          </cell>
          <cell r="AN33" t="str">
            <v>Ult/330Inc</v>
          </cell>
          <cell r="AO33">
            <v>1.0054900784257828</v>
          </cell>
          <cell r="AP33">
            <v>1.0054900784257828</v>
          </cell>
        </row>
        <row r="34">
          <cell r="AJ34">
            <v>1989</v>
          </cell>
          <cell r="AK34">
            <v>0</v>
          </cell>
          <cell r="AL34" t="str">
            <v>Inc 354/342</v>
          </cell>
          <cell r="AM34">
            <v>1.0004999999999999</v>
          </cell>
          <cell r="AN34" t="str">
            <v>Ult/342Inc</v>
          </cell>
          <cell r="AO34">
            <v>1.0051550267501994</v>
          </cell>
          <cell r="AP34">
            <v>1.0051550267501994</v>
          </cell>
        </row>
        <row r="35">
          <cell r="AJ35">
            <v>1988</v>
          </cell>
          <cell r="AK35">
            <v>0</v>
          </cell>
          <cell r="AL35" t="str">
            <v>Inc 366/354</v>
          </cell>
          <cell r="AM35">
            <v>1.0003999999999997</v>
          </cell>
          <cell r="AN35" t="str">
            <v>Ult/354Inc</v>
          </cell>
          <cell r="AO35">
            <v>1.0046527003999994</v>
          </cell>
          <cell r="AP35">
            <v>1.0046527003999994</v>
          </cell>
        </row>
        <row r="36">
          <cell r="AJ36">
            <v>1987</v>
          </cell>
          <cell r="AK36">
            <v>0</v>
          </cell>
          <cell r="AL36" t="str">
            <v>Inc 378/366</v>
          </cell>
          <cell r="AM36">
            <v>1.0002499999999999</v>
          </cell>
          <cell r="AN36" t="str">
            <v>Ult/366Inc</v>
          </cell>
          <cell r="AO36">
            <v>1.0042509999999998</v>
          </cell>
          <cell r="AP36">
            <v>1.0042509999999998</v>
          </cell>
        </row>
        <row r="37">
          <cell r="AJ37">
            <v>1986</v>
          </cell>
          <cell r="AK37">
            <v>0</v>
          </cell>
          <cell r="AL37" t="str">
            <v>Inc 390/378</v>
          </cell>
          <cell r="AM37">
            <v>1</v>
          </cell>
          <cell r="AN37" t="str">
            <v>Ult/378Inc</v>
          </cell>
          <cell r="AO37">
            <v>1.004</v>
          </cell>
          <cell r="AP37">
            <v>1.004</v>
          </cell>
        </row>
      </sheetData>
      <sheetData sheetId="8"/>
      <sheetData sheetId="9"/>
      <sheetData sheetId="10"/>
      <sheetData sheetId="11">
        <row r="6">
          <cell r="J6">
            <v>2016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BM2">
            <v>2000</v>
          </cell>
          <cell r="BN2">
            <v>2001</v>
          </cell>
          <cell r="BO2">
            <v>2002</v>
          </cell>
          <cell r="BP2">
            <v>2003</v>
          </cell>
          <cell r="BQ2">
            <v>2004</v>
          </cell>
          <cell r="BR2">
            <v>2005</v>
          </cell>
          <cell r="BS2">
            <v>2006</v>
          </cell>
          <cell r="BT2">
            <v>2007</v>
          </cell>
          <cell r="BU2">
            <v>2008</v>
          </cell>
          <cell r="BV2">
            <v>2009</v>
          </cell>
          <cell r="BW2">
            <v>2010</v>
          </cell>
          <cell r="BX2">
            <v>2011</v>
          </cell>
          <cell r="BY2">
            <v>2012</v>
          </cell>
          <cell r="BZ2">
            <v>2013</v>
          </cell>
          <cell r="CA2">
            <v>2014</v>
          </cell>
          <cell r="CB2">
            <v>2015</v>
          </cell>
          <cell r="CC2">
            <v>2016</v>
          </cell>
          <cell r="CD2">
            <v>2017</v>
          </cell>
          <cell r="CE2">
            <v>2018</v>
          </cell>
          <cell r="CF2">
            <v>2019</v>
          </cell>
          <cell r="CG2">
            <v>2020</v>
          </cell>
          <cell r="CH2">
            <v>0</v>
          </cell>
          <cell r="CI2">
            <v>0</v>
          </cell>
        </row>
        <row r="3">
          <cell r="BM3">
            <v>3.3768572714992904</v>
          </cell>
          <cell r="BN3">
            <v>2.8261711188540506</v>
          </cell>
          <cell r="BO3">
            <v>1.5860316265060423</v>
          </cell>
          <cell r="BP3">
            <v>2.2700949733611355</v>
          </cell>
          <cell r="BQ3">
            <v>2.6772366930917388</v>
          </cell>
          <cell r="BR3">
            <v>3.3927468454954695</v>
          </cell>
          <cell r="BS3">
            <v>3.2259441007040652</v>
          </cell>
          <cell r="BT3">
            <v>2.8526724815013895</v>
          </cell>
          <cell r="BU3">
            <v>3.8391002966509746</v>
          </cell>
          <cell r="BV3">
            <v>-0.3555462662997424</v>
          </cell>
          <cell r="BW3">
            <v>1.6400434423898986</v>
          </cell>
          <cell r="BX3">
            <v>3.1568415686220437</v>
          </cell>
          <cell r="BY3">
            <v>2.0693372652606232</v>
          </cell>
          <cell r="BZ3">
            <v>1.4648326556271045</v>
          </cell>
          <cell r="CA3">
            <v>1.6222229774082195</v>
          </cell>
          <cell r="CB3">
            <v>0.11862713555245909</v>
          </cell>
          <cell r="CC3">
            <v>1.2615832057053273</v>
          </cell>
          <cell r="CD3">
            <v>2.316352783499656</v>
          </cell>
          <cell r="CE3">
            <v>2.3055768166938981</v>
          </cell>
          <cell r="CF3">
            <v>2.2513818666130763</v>
          </cell>
          <cell r="CG3">
            <v>2.1661014437844774</v>
          </cell>
          <cell r="CH3">
            <v>0</v>
          </cell>
          <cell r="CI3">
            <v>0</v>
          </cell>
        </row>
        <row r="4">
          <cell r="BM4">
            <v>2.4343158489499812</v>
          </cell>
          <cell r="BN4">
            <v>2.6706504251896126</v>
          </cell>
          <cell r="BO4">
            <v>2.3191260744985809</v>
          </cell>
          <cell r="BP4">
            <v>1.4570753478603187</v>
          </cell>
          <cell r="BQ4">
            <v>1.7596066761547446</v>
          </cell>
          <cell r="BR4">
            <v>2.1699512608603437</v>
          </cell>
          <cell r="BS4">
            <v>2.501348156137253</v>
          </cell>
          <cell r="BT4">
            <v>2.337070012140797</v>
          </cell>
          <cell r="BU4">
            <v>2.2979346704635573</v>
          </cell>
          <cell r="BV4">
            <v>1.6994361499548867</v>
          </cell>
          <cell r="BW4">
            <v>0.9585604488334506</v>
          </cell>
          <cell r="BX4">
            <v>1.6585606079431054</v>
          </cell>
          <cell r="BY4">
            <v>2.1100037406160186</v>
          </cell>
          <cell r="BZ4">
            <v>1.7630724299997582</v>
          </cell>
          <cell r="CA4">
            <v>1.749670577911691</v>
          </cell>
          <cell r="CB4">
            <v>1.8284192617175308</v>
          </cell>
          <cell r="CC4">
            <v>2.2109022558977531</v>
          </cell>
          <cell r="CD4">
            <v>2.1395163888984792</v>
          </cell>
          <cell r="CE4">
            <v>2.5102383207959185</v>
          </cell>
          <cell r="CF4">
            <v>1.9490737702990657</v>
          </cell>
          <cell r="CG4">
            <v>1.8765568380980511</v>
          </cell>
          <cell r="CH4">
            <v>0</v>
          </cell>
          <cell r="CI4">
            <v>0</v>
          </cell>
        </row>
        <row r="5">
          <cell r="BM5">
            <v>2.2648791387365441</v>
          </cell>
          <cell r="BN5">
            <v>3.1383454166252935</v>
          </cell>
          <cell r="BO5">
            <v>1.8103033220991771</v>
          </cell>
          <cell r="BP5">
            <v>2.1327910715974769</v>
          </cell>
          <cell r="BQ5">
            <v>3.4449229059591699</v>
          </cell>
          <cell r="BR5">
            <v>2.4439371559016956</v>
          </cell>
          <cell r="BS5">
            <v>2.3332022545549664</v>
          </cell>
          <cell r="BT5">
            <v>3.9661414969472117</v>
          </cell>
          <cell r="BU5">
            <v>5.5148458454260867</v>
          </cell>
          <cell r="BV5">
            <v>1.7975484932142689</v>
          </cell>
          <cell r="BW5">
            <v>0.76621291619335352</v>
          </cell>
          <cell r="BX5">
            <v>3.7411103239953141</v>
          </cell>
          <cell r="BY5">
            <v>2.6052467760848375</v>
          </cell>
          <cell r="BZ5">
            <v>1.3943111108576336</v>
          </cell>
          <cell r="CA5">
            <v>2.3994504372209202</v>
          </cell>
          <cell r="CB5">
            <v>1.8582109895512431</v>
          </cell>
          <cell r="CC5">
            <v>0.28168226025325155</v>
          </cell>
          <cell r="CD5">
            <v>1.0810971496073039</v>
          </cell>
          <cell r="CE5">
            <v>2.1138819387738486</v>
          </cell>
          <cell r="CF5">
            <v>2.7252223238086284</v>
          </cell>
          <cell r="CG5">
            <v>2.6172036040460465</v>
          </cell>
          <cell r="CH5">
            <v>0</v>
          </cell>
          <cell r="CI5">
            <v>0</v>
          </cell>
        </row>
        <row r="6">
          <cell r="BM6">
            <v>2.2380106571936129</v>
          </cell>
          <cell r="BN6">
            <v>3.2661570535093909</v>
          </cell>
          <cell r="BO6">
            <v>1.2978273408959815</v>
          </cell>
          <cell r="BP6">
            <v>2.1495681882888902</v>
          </cell>
          <cell r="BQ6">
            <v>3.785943234078113</v>
          </cell>
          <cell r="BR6">
            <v>1.9291021394682675</v>
          </cell>
          <cell r="BS6">
            <v>1.7608571554033299</v>
          </cell>
          <cell r="BT6">
            <v>4.209027358246324</v>
          </cell>
          <cell r="BU6">
            <v>6.4002418279543321</v>
          </cell>
          <cell r="BV6">
            <v>0.46623820491284595</v>
          </cell>
          <cell r="BW6">
            <v>0.33097267383619988</v>
          </cell>
          <cell r="BX6">
            <v>4.8022683942168953</v>
          </cell>
          <cell r="BY6">
            <v>2.4637434488429419</v>
          </cell>
          <cell r="BZ6">
            <v>0.90407948564726559</v>
          </cell>
          <cell r="CA6">
            <v>2.3889807217504577</v>
          </cell>
          <cell r="CB6">
            <v>1.1668114392623326</v>
          </cell>
          <cell r="CC6">
            <v>-1.3147230822153479</v>
          </cell>
          <cell r="CD6">
            <v>0.10194225352162843</v>
          </cell>
          <cell r="CE6">
            <v>1.7302784007621783</v>
          </cell>
          <cell r="CF6">
            <v>2.6818361371318091</v>
          </cell>
          <cell r="CG6">
            <v>2.5242112569051631</v>
          </cell>
          <cell r="CH6">
            <v>0</v>
          </cell>
          <cell r="CI6">
            <v>0</v>
          </cell>
        </row>
        <row r="7">
          <cell r="BM7">
            <v>2.3521098324247887</v>
          </cell>
          <cell r="BN7">
            <v>2.8799684387020461</v>
          </cell>
          <cell r="BO7">
            <v>2.5548844789569531</v>
          </cell>
          <cell r="BP7">
            <v>2.1360130871699017</v>
          </cell>
          <cell r="BQ7">
            <v>2.9699798645433062</v>
          </cell>
          <cell r="BR7">
            <v>3.1509710679525189</v>
          </cell>
          <cell r="BS7">
            <v>3.0848772080999582</v>
          </cell>
          <cell r="BT7">
            <v>3.6490846777564299</v>
          </cell>
          <cell r="BU7">
            <v>4.4083490193991102</v>
          </cell>
          <cell r="BV7">
            <v>3.4771714072633797</v>
          </cell>
          <cell r="BW7">
            <v>1.2727007389718927</v>
          </cell>
          <cell r="BX7">
            <v>2.3385010920031668</v>
          </cell>
          <cell r="BY7">
            <v>2.845851396600573</v>
          </cell>
          <cell r="BZ7">
            <v>2.1354152441419973</v>
          </cell>
          <cell r="CA7">
            <v>2.4324761675549791</v>
          </cell>
          <cell r="CB7">
            <v>2.8594876518396717</v>
          </cell>
          <cell r="CC7">
            <v>2.5750290901233992</v>
          </cell>
          <cell r="CD7">
            <v>2.442014577089298</v>
          </cell>
          <cell r="CE7">
            <v>2.6347427993227464</v>
          </cell>
          <cell r="CF7">
            <v>2.7836213700958194</v>
          </cell>
          <cell r="CG7">
            <v>2.74225000445449</v>
          </cell>
          <cell r="CH7">
            <v>0</v>
          </cell>
          <cell r="CI7">
            <v>0</v>
          </cell>
        </row>
        <row r="8">
          <cell r="BM8">
            <v>2.9118585808985982</v>
          </cell>
          <cell r="BN8">
            <v>2.6529248974138708</v>
          </cell>
          <cell r="BO8">
            <v>2.4077344984661133</v>
          </cell>
          <cell r="BP8">
            <v>1.9471677559912792</v>
          </cell>
          <cell r="BQ8">
            <v>2.6490361070299837</v>
          </cell>
          <cell r="BR8">
            <v>1.9734559333795774</v>
          </cell>
          <cell r="BS8">
            <v>2.4456637318701984</v>
          </cell>
          <cell r="BT8">
            <v>3.1432367350328123</v>
          </cell>
          <cell r="BU8">
            <v>3.6024921225548456</v>
          </cell>
          <cell r="BV8">
            <v>2.9221716485902904</v>
          </cell>
          <cell r="BW8">
            <v>1.1503139278887204</v>
          </cell>
          <cell r="BX8">
            <v>1.5199918790455387</v>
          </cell>
          <cell r="BY8">
            <v>1.8152602587441551</v>
          </cell>
          <cell r="BZ8">
            <v>1.6567404259467617</v>
          </cell>
          <cell r="CA8">
            <v>1.1427891514057895</v>
          </cell>
          <cell r="CB8">
            <v>0.93778916336425122</v>
          </cell>
          <cell r="CC8">
            <v>1.2507132022432599</v>
          </cell>
          <cell r="CD8">
            <v>1.642886840233533</v>
          </cell>
          <cell r="CE8">
            <v>2.0751840922374196</v>
          </cell>
          <cell r="CF8">
            <v>2.05637034570114</v>
          </cell>
          <cell r="CG8">
            <v>2.0419607088118736</v>
          </cell>
          <cell r="CH8">
            <v>0</v>
          </cell>
          <cell r="CI8">
            <v>0</v>
          </cell>
        </row>
        <row r="9">
          <cell r="BM9">
            <v>3.2530817498108684</v>
          </cell>
          <cell r="BN9">
            <v>3.7281268856132996</v>
          </cell>
          <cell r="BO9">
            <v>3.7561806623176821</v>
          </cell>
          <cell r="BP9">
            <v>2.4148011693564708</v>
          </cell>
          <cell r="BQ9">
            <v>2.6863220458278181</v>
          </cell>
          <cell r="BR9">
            <v>2.5513118312326046</v>
          </cell>
          <cell r="BS9">
            <v>3.4347035015409921</v>
          </cell>
          <cell r="BT9">
            <v>3.6518882825961954</v>
          </cell>
          <cell r="BU9">
            <v>2.5168607504449882</v>
          </cell>
          <cell r="BV9">
            <v>1.0896632665505777</v>
          </cell>
          <cell r="BW9">
            <v>-0.38422578854512884</v>
          </cell>
          <cell r="BX9">
            <v>1.3082260394517515</v>
          </cell>
          <cell r="BY9">
            <v>2.1608749601374018</v>
          </cell>
          <cell r="BZ9">
            <v>2.3230779104843493</v>
          </cell>
          <cell r="CA9">
            <v>2.8348553491037718</v>
          </cell>
          <cell r="CB9">
            <v>3.0644245070168967</v>
          </cell>
          <cell r="CC9">
            <v>3.3813641189467463</v>
          </cell>
          <cell r="CD9">
            <v>3.6631110038952759</v>
          </cell>
          <cell r="CE9">
            <v>4.0577918396585284</v>
          </cell>
          <cell r="CF9">
            <v>4.0180423014091895</v>
          </cell>
          <cell r="CG9">
            <v>3.8673687930873375</v>
          </cell>
          <cell r="CH9">
            <v>0</v>
          </cell>
          <cell r="CI9">
            <v>0</v>
          </cell>
        </row>
        <row r="10">
          <cell r="BM10">
            <v>3.6294487745328015</v>
          </cell>
          <cell r="BN10">
            <v>4.4538081645598435</v>
          </cell>
          <cell r="BO10">
            <v>3.9299037043463083</v>
          </cell>
          <cell r="BP10">
            <v>2.929883138564271</v>
          </cell>
          <cell r="BQ10">
            <v>2.6802368015570619</v>
          </cell>
          <cell r="BR10">
            <v>2.9933262251707915</v>
          </cell>
          <cell r="BS10">
            <v>3.5658141942410184</v>
          </cell>
          <cell r="BT10">
            <v>4.2592647439931808</v>
          </cell>
          <cell r="BU10">
            <v>3.6612790454475594</v>
          </cell>
          <cell r="BV10">
            <v>2.2774654072581408</v>
          </cell>
          <cell r="BW10">
            <v>0.23062966990751976</v>
          </cell>
          <cell r="BX10">
            <v>1.7052921766008187</v>
          </cell>
          <cell r="BY10">
            <v>2.6528604724972396</v>
          </cell>
          <cell r="BZ10">
            <v>2.82591676743262</v>
          </cell>
          <cell r="CA10">
            <v>3.151497418833729</v>
          </cell>
          <cell r="CB10">
            <v>3.5739902587340833</v>
          </cell>
          <cell r="CC10">
            <v>3.7717818786539841</v>
          </cell>
          <cell r="CD10">
            <v>3.9373442696130843</v>
          </cell>
          <cell r="CE10">
            <v>4.1982453627306375</v>
          </cell>
          <cell r="CF10">
            <v>4.1398546803432703</v>
          </cell>
          <cell r="CG10">
            <v>3.922742207013509</v>
          </cell>
          <cell r="CH10">
            <v>0</v>
          </cell>
          <cell r="CI10">
            <v>0</v>
          </cell>
        </row>
        <row r="11">
          <cell r="BM11">
            <v>2.9717938749946087</v>
          </cell>
          <cell r="BN11">
            <v>3.8382482486681342</v>
          </cell>
          <cell r="BO11">
            <v>4.0801486628424062</v>
          </cell>
          <cell r="BP11">
            <v>2.4336283185840282</v>
          </cell>
          <cell r="BQ11">
            <v>2.2735023303399022</v>
          </cell>
          <cell r="BR11">
            <v>2.3229965544070348</v>
          </cell>
          <cell r="BS11">
            <v>3.4868563980013181</v>
          </cell>
          <cell r="BT11">
            <v>3.384066337776833</v>
          </cell>
          <cell r="BU11">
            <v>2.5144340433596524</v>
          </cell>
          <cell r="BV11">
            <v>1.6572816434624542</v>
          </cell>
          <cell r="BW11">
            <v>-1.0262012562530348E-2</v>
          </cell>
          <cell r="BX11">
            <v>1.1638511439745673</v>
          </cell>
          <cell r="BY11">
            <v>2.0297370295781039</v>
          </cell>
          <cell r="BZ11">
            <v>2.2076675707821702</v>
          </cell>
          <cell r="CA11">
            <v>2.6403068017847429</v>
          </cell>
          <cell r="CB11">
            <v>2.9131213587107676</v>
          </cell>
          <cell r="CC11">
            <v>3.3013543442393551</v>
          </cell>
          <cell r="CD11">
            <v>3.7806612157838724</v>
          </cell>
          <cell r="CE11">
            <v>4.1732164232035434</v>
          </cell>
          <cell r="CF11">
            <v>4.1017484906525921</v>
          </cell>
          <cell r="CG11">
            <v>3.9463034695222223</v>
          </cell>
          <cell r="CH11">
            <v>0</v>
          </cell>
          <cell r="CI11">
            <v>0</v>
          </cell>
        </row>
        <row r="12">
          <cell r="BM12">
            <v>7.0587474120082847</v>
          </cell>
          <cell r="BN12">
            <v>8.9019157551217791</v>
          </cell>
          <cell r="BO12">
            <v>-4.400665926748049</v>
          </cell>
          <cell r="BP12">
            <v>7.6507807511464465</v>
          </cell>
          <cell r="BQ12">
            <v>4.7559989215422096</v>
          </cell>
          <cell r="BR12">
            <v>10.593503886343733</v>
          </cell>
          <cell r="BS12">
            <v>8.7456364905748032</v>
          </cell>
          <cell r="BT12">
            <v>3.046952576613617</v>
          </cell>
          <cell r="BU12">
            <v>9.662155791540842</v>
          </cell>
          <cell r="BV12">
            <v>-4.2367399006292938</v>
          </cell>
          <cell r="BW12">
            <v>1.6565711697922401</v>
          </cell>
          <cell r="BX12">
            <v>2.885529322370386</v>
          </cell>
          <cell r="BY12">
            <v>-0.62649277493150324</v>
          </cell>
          <cell r="BZ12">
            <v>2.8408535232588594</v>
          </cell>
          <cell r="CA12">
            <v>4.16560283294295</v>
          </cell>
          <cell r="CB12">
            <v>-1.9010218236523884</v>
          </cell>
          <cell r="CC12">
            <v>-0.55349350908002404</v>
          </cell>
          <cell r="CD12">
            <v>2.8291042561442543</v>
          </cell>
          <cell r="CE12">
            <v>2.035036123213775</v>
          </cell>
          <cell r="CF12">
            <v>1.2536664542373173</v>
          </cell>
          <cell r="CG12">
            <v>0.7942755292297019</v>
          </cell>
          <cell r="CH12">
            <v>0</v>
          </cell>
          <cell r="CI12">
            <v>0</v>
          </cell>
        </row>
        <row r="13">
          <cell r="BM13">
            <v>1.1835097639555525</v>
          </cell>
          <cell r="BN13">
            <v>0.64981480278121473</v>
          </cell>
          <cell r="BO13">
            <v>-0.56814513525729105</v>
          </cell>
          <cell r="BP13">
            <v>-1.7336536588533167</v>
          </cell>
          <cell r="BQ13">
            <v>-0.50878815911195518</v>
          </cell>
          <cell r="BR13">
            <v>0.49146576343229675</v>
          </cell>
          <cell r="BS13">
            <v>0.74020223382462413</v>
          </cell>
          <cell r="BT13">
            <v>-0.11848061405236943</v>
          </cell>
          <cell r="BU13">
            <v>0.72978941132118302</v>
          </cell>
          <cell r="BV13">
            <v>0.70500552619481238</v>
          </cell>
          <cell r="BW13">
            <v>-2.4956342749399933</v>
          </cell>
          <cell r="BX13">
            <v>-0.43582663622587953</v>
          </cell>
          <cell r="BY13">
            <v>0.64542980075514433</v>
          </cell>
          <cell r="BZ13">
            <v>-0.78290881040803262</v>
          </cell>
          <cell r="CA13">
            <v>-1.296242120154381</v>
          </cell>
          <cell r="CB13">
            <v>-0.44086787700633551</v>
          </cell>
          <cell r="CC13">
            <v>-0.80706772191300824</v>
          </cell>
          <cell r="CD13">
            <v>-0.10601776921400979</v>
          </cell>
          <cell r="CE13">
            <v>0.23898521008060028</v>
          </cell>
          <cell r="CF13">
            <v>0.1279258924908121</v>
          </cell>
          <cell r="CG13">
            <v>0.15300192552652497</v>
          </cell>
          <cell r="CH13">
            <v>0</v>
          </cell>
          <cell r="CI13">
            <v>0</v>
          </cell>
        </row>
        <row r="14">
          <cell r="BM14">
            <v>-1.3075214217708679</v>
          </cell>
          <cell r="BN14">
            <v>-1.7814650459836565</v>
          </cell>
          <cell r="BO14">
            <v>-2.5471451021477276</v>
          </cell>
          <cell r="BP14">
            <v>-2.5398105220721678</v>
          </cell>
          <cell r="BQ14">
            <v>-0.3653912443984802</v>
          </cell>
          <cell r="BR14">
            <v>-0.74038195405481322</v>
          </cell>
          <cell r="BS14">
            <v>-7.6681770651784761E-2</v>
          </cell>
          <cell r="BT14">
            <v>-0.37819171201338631</v>
          </cell>
          <cell r="BU14">
            <v>-7.6751828983495626E-2</v>
          </cell>
          <cell r="BV14">
            <v>0.9850141882691279</v>
          </cell>
          <cell r="BW14">
            <v>-0.47892414524427124</v>
          </cell>
          <cell r="BX14">
            <v>2.182021802784718</v>
          </cell>
          <cell r="BY14">
            <v>3.401763973663241</v>
          </cell>
          <cell r="BZ14">
            <v>0.9082119227151958</v>
          </cell>
          <cell r="CA14">
            <v>8.0775127278048267E-2</v>
          </cell>
          <cell r="CB14">
            <v>-1.2639763791105818</v>
          </cell>
          <cell r="CC14">
            <v>0.11344757517391849</v>
          </cell>
          <cell r="CD14">
            <v>0.21024842913661326</v>
          </cell>
          <cell r="CE14">
            <v>0.39046024273151703</v>
          </cell>
          <cell r="CF14">
            <v>0.85349882469102933</v>
          </cell>
          <cell r="CG14">
            <v>1.0062037119575558</v>
          </cell>
          <cell r="CH14">
            <v>0</v>
          </cell>
          <cell r="CI14">
            <v>0</v>
          </cell>
        </row>
        <row r="15">
          <cell r="BM15">
            <v>6.1865189289012035</v>
          </cell>
          <cell r="BN15">
            <v>0.59782608695651551</v>
          </cell>
          <cell r="BO15">
            <v>-0.90221501890868816</v>
          </cell>
          <cell r="BP15">
            <v>3.0747424085482122</v>
          </cell>
          <cell r="BQ15">
            <v>3.5172158459829816</v>
          </cell>
          <cell r="BR15">
            <v>6.6268138156550016</v>
          </cell>
          <cell r="BS15">
            <v>3.9963582347021998</v>
          </cell>
          <cell r="BT15">
            <v>2.113947380546469</v>
          </cell>
          <cell r="BU15">
            <v>5.8845878424080365</v>
          </cell>
          <cell r="BV15">
            <v>-8.3339157382280238</v>
          </cell>
          <cell r="BW15">
            <v>7.8902701916152607</v>
          </cell>
          <cell r="BX15">
            <v>9.8089368484598225</v>
          </cell>
          <cell r="BY15">
            <v>2.3409663819380886</v>
          </cell>
          <cell r="BZ15">
            <v>3.4125125716600986E-2</v>
          </cell>
          <cell r="CA15">
            <v>-0.67721016091216502</v>
          </cell>
          <cell r="CB15">
            <v>-7.8136173329613454</v>
          </cell>
          <cell r="CC15">
            <v>-2.0962835299244245</v>
          </cell>
          <cell r="CD15">
            <v>3.6554285443666372</v>
          </cell>
          <cell r="CE15">
            <v>1.4224862991840848</v>
          </cell>
          <cell r="CF15">
            <v>3.7736216260794064</v>
          </cell>
          <cell r="CG15">
            <v>3.9992877460519987</v>
          </cell>
          <cell r="CH15">
            <v>0</v>
          </cell>
          <cell r="CI15">
            <v>0</v>
          </cell>
        </row>
        <row r="16">
          <cell r="BM16">
            <v>-7.5832701394145774E-2</v>
          </cell>
          <cell r="BN16">
            <v>-0.4495037945125604</v>
          </cell>
          <cell r="BO16">
            <v>-1.4836099220078487</v>
          </cell>
          <cell r="BP16">
            <v>-1.5357142857142898</v>
          </cell>
          <cell r="BQ16">
            <v>-0.57429573207590046</v>
          </cell>
          <cell r="BR16">
            <v>0.62017389189515337</v>
          </cell>
          <cell r="BS16">
            <v>-0.23566378633151278</v>
          </cell>
          <cell r="BT16">
            <v>-0.96589945487582618</v>
          </cell>
          <cell r="BU16">
            <v>-1.5124280375009138</v>
          </cell>
          <cell r="BV16">
            <v>1.0654377628352936</v>
          </cell>
          <cell r="BW16">
            <v>1.756395312756335</v>
          </cell>
          <cell r="BX16">
            <v>2.809972549403243</v>
          </cell>
          <cell r="BY16">
            <v>1.6553496679491988</v>
          </cell>
          <cell r="BZ16">
            <v>1.0755235341189382</v>
          </cell>
          <cell r="CA16">
            <v>0.33714416371327449</v>
          </cell>
          <cell r="CB16">
            <v>0.58804829721220475</v>
          </cell>
          <cell r="CC16">
            <v>0.15122166717638097</v>
          </cell>
          <cell r="CD16">
            <v>1.0559467055743299</v>
          </cell>
          <cell r="CE16">
            <v>0.92074695256564398</v>
          </cell>
          <cell r="CF16">
            <v>0.88137199212426076</v>
          </cell>
          <cell r="CG16">
            <v>0.91867775834183818</v>
          </cell>
          <cell r="CH16">
            <v>0</v>
          </cell>
          <cell r="CI16">
            <v>0</v>
          </cell>
        </row>
        <row r="17">
          <cell r="BM17">
            <v>28.39547270306262</v>
          </cell>
          <cell r="BN17">
            <v>-3.5779102929738418</v>
          </cell>
          <cell r="BO17">
            <v>-6.4197364883033154</v>
          </cell>
          <cell r="BP17">
            <v>16.478701242726839</v>
          </cell>
          <cell r="BQ17">
            <v>18.162195497995697</v>
          </cell>
          <cell r="BR17">
            <v>21.931106471816253</v>
          </cell>
          <cell r="BS17">
            <v>12.974060440030815</v>
          </cell>
          <cell r="BT17">
            <v>8.1919448338574821</v>
          </cell>
          <cell r="BU17">
            <v>16.598436006177518</v>
          </cell>
          <cell r="BV17">
            <v>-27.356133690546276</v>
          </cell>
          <cell r="BW17">
            <v>18.376681662554901</v>
          </cell>
          <cell r="BX17">
            <v>26.446169283788091</v>
          </cell>
          <cell r="BY17">
            <v>3.2404576167534094</v>
          </cell>
          <cell r="BZ17">
            <v>-2.855146179257094</v>
          </cell>
          <cell r="CA17">
            <v>-3.8627378941216746</v>
          </cell>
          <cell r="CB17">
            <v>-27.117523890119621</v>
          </cell>
          <cell r="CC17">
            <v>-11.511521230021323</v>
          </cell>
          <cell r="CD17">
            <v>11.867838059579192</v>
          </cell>
          <cell r="CE17">
            <v>-1.4225491677336559</v>
          </cell>
          <cell r="CF17">
            <v>9.3817489309763786</v>
          </cell>
          <cell r="CG17">
            <v>9.6546371678645659</v>
          </cell>
          <cell r="CH17">
            <v>0</v>
          </cell>
          <cell r="CI17">
            <v>0</v>
          </cell>
        </row>
        <row r="18">
          <cell r="BM18">
            <v>4.057199866977049</v>
          </cell>
          <cell r="BN18">
            <v>4.6053052093320526</v>
          </cell>
          <cell r="BO18">
            <v>4.7080749136903961</v>
          </cell>
          <cell r="BP18">
            <v>4.0178571428571308</v>
          </cell>
          <cell r="BQ18">
            <v>4.3956352211843459</v>
          </cell>
          <cell r="BR18">
            <v>4.2213026655201791</v>
          </cell>
          <cell r="BS18">
            <v>4.0090752056101397</v>
          </cell>
          <cell r="BT18">
            <v>4.423256159833441</v>
          </cell>
          <cell r="BU18">
            <v>3.7063430250320168</v>
          </cell>
          <cell r="BV18">
            <v>3.1720769514953373</v>
          </cell>
          <cell r="BW18">
            <v>3.4137285270598832</v>
          </cell>
          <cell r="BX18">
            <v>3.0434469199961818</v>
          </cell>
          <cell r="BY18">
            <v>3.6642453087491944</v>
          </cell>
          <cell r="BZ18">
            <v>2.4608326787621451</v>
          </cell>
          <cell r="CA18">
            <v>2.3893026795049623</v>
          </cell>
          <cell r="CB18">
            <v>2.6326757100162923</v>
          </cell>
          <cell r="CC18">
            <v>3.7879136918779208</v>
          </cell>
          <cell r="CD18">
            <v>3.1776967902782527</v>
          </cell>
          <cell r="CE18">
            <v>2.7263448883095518</v>
          </cell>
          <cell r="CF18">
            <v>2.6674837467144417</v>
          </cell>
          <cell r="CG18">
            <v>2.620081292399262</v>
          </cell>
          <cell r="CH18">
            <v>0</v>
          </cell>
          <cell r="CI18">
            <v>0</v>
          </cell>
        </row>
        <row r="19">
          <cell r="BM19">
            <v>1.3240702901511856</v>
          </cell>
          <cell r="BN19">
            <v>1.5487617972090104</v>
          </cell>
          <cell r="BO19">
            <v>1.2630073874017025</v>
          </cell>
          <cell r="BP19">
            <v>1.2158770003137789</v>
          </cell>
          <cell r="BQ19">
            <v>1.0230179028132806</v>
          </cell>
          <cell r="BR19">
            <v>0.66743383199080186</v>
          </cell>
          <cell r="BS19">
            <v>1.4403292181069984</v>
          </cell>
          <cell r="BT19">
            <v>0.46720757268422852</v>
          </cell>
          <cell r="BU19">
            <v>1.6247432362809562</v>
          </cell>
          <cell r="BV19">
            <v>0.89923306552310789</v>
          </cell>
          <cell r="BW19">
            <v>-0.83929618426156671</v>
          </cell>
          <cell r="BX19">
            <v>3.8903952832817904E-2</v>
          </cell>
          <cell r="BY19">
            <v>1.1867339857442019</v>
          </cell>
          <cell r="BZ19">
            <v>0.49127053953305527</v>
          </cell>
          <cell r="CA19">
            <v>0.24060272138450484</v>
          </cell>
          <cell r="CB19">
            <v>0.34445926170608182</v>
          </cell>
          <cell r="CC19">
            <v>0.89959225097158091</v>
          </cell>
          <cell r="CD19">
            <v>1.4806957906786775</v>
          </cell>
          <cell r="CE19">
            <v>0.81728250303663763</v>
          </cell>
          <cell r="CF19">
            <v>0.81624812305332395</v>
          </cell>
          <cell r="CG19">
            <v>0.86451645429398882</v>
          </cell>
          <cell r="CH19">
            <v>0</v>
          </cell>
          <cell r="CI19">
            <v>0</v>
          </cell>
        </row>
        <row r="20">
          <cell r="BM20">
            <v>1.3178486121406758</v>
          </cell>
          <cell r="BN20">
            <v>2.6664498821234059</v>
          </cell>
          <cell r="BO20">
            <v>2.5180140945443084</v>
          </cell>
          <cell r="BP20">
            <v>1.7533019232254698</v>
          </cell>
          <cell r="BQ20">
            <v>1.6395931379990605</v>
          </cell>
          <cell r="BR20">
            <v>1.8820014936519871</v>
          </cell>
          <cell r="BS20">
            <v>2.7122122855886195</v>
          </cell>
          <cell r="BT20">
            <v>2.4065087068227622</v>
          </cell>
          <cell r="BU20">
            <v>3.3909207481949957</v>
          </cell>
          <cell r="BV20">
            <v>3.0428484669147591</v>
          </cell>
          <cell r="BW20">
            <v>1.9827044847977544</v>
          </cell>
          <cell r="BX20">
            <v>1.1909328236146766</v>
          </cell>
          <cell r="BY20">
            <v>1.8087635815737457</v>
          </cell>
          <cell r="BZ20">
            <v>1.5256529351261303</v>
          </cell>
          <cell r="CA20">
            <v>1.200697151295572</v>
          </cell>
          <cell r="CB20">
            <v>0.50217698905900343</v>
          </cell>
          <cell r="CC20">
            <v>0.66909777618597177</v>
          </cell>
          <cell r="CD20">
            <v>-0.41888501370688347</v>
          </cell>
          <cell r="CE20">
            <v>1.9030133008718217</v>
          </cell>
          <cell r="CF20">
            <v>0.52790479109603261</v>
          </cell>
          <cell r="CG20">
            <v>0.35860966449462273</v>
          </cell>
          <cell r="CH20">
            <v>0</v>
          </cell>
          <cell r="CI20">
            <v>0</v>
          </cell>
        </row>
        <row r="21">
          <cell r="BM21">
            <v>4.9561177077955643</v>
          </cell>
          <cell r="BN21">
            <v>4.2670929660600088</v>
          </cell>
          <cell r="BO21">
            <v>3.7533907300389253</v>
          </cell>
          <cell r="BP21">
            <v>1.8699025263576543</v>
          </cell>
          <cell r="BQ21">
            <v>2.011325912907671</v>
          </cell>
          <cell r="BR21">
            <v>2.8276088383285765</v>
          </cell>
          <cell r="BS21">
            <v>2.6674113079091404</v>
          </cell>
          <cell r="BT21">
            <v>3.6119673617406907</v>
          </cell>
          <cell r="BU21">
            <v>3.6159542393136066</v>
          </cell>
          <cell r="BV21">
            <v>6.7184677033308171</v>
          </cell>
          <cell r="BW21">
            <v>3.4471633460154507</v>
          </cell>
          <cell r="BX21">
            <v>1.5560276839871146</v>
          </cell>
          <cell r="BY21">
            <v>1.8517255174809191</v>
          </cell>
          <cell r="BZ21">
            <v>1.6752040098573153</v>
          </cell>
          <cell r="CA21">
            <v>1.7694440172734007</v>
          </cell>
          <cell r="CB21">
            <v>1.666351518408802</v>
          </cell>
          <cell r="CC21">
            <v>1.9704063453423211</v>
          </cell>
          <cell r="CD21">
            <v>2.1095154654283435</v>
          </cell>
          <cell r="CE21">
            <v>2.7936063820129671</v>
          </cell>
          <cell r="CF21">
            <v>2.8427602811302677</v>
          </cell>
          <cell r="CG21">
            <v>2.8449399736195948</v>
          </cell>
          <cell r="CH21">
            <v>0</v>
          </cell>
          <cell r="CI21">
            <v>0</v>
          </cell>
        </row>
        <row r="22">
          <cell r="BM22">
            <v>3.466408004900976</v>
          </cell>
          <cell r="BN22">
            <v>2.7384418019440302</v>
          </cell>
          <cell r="BO22">
            <v>1.3591393718182778</v>
          </cell>
          <cell r="BP22">
            <v>2.2364368633025209</v>
          </cell>
          <cell r="BQ22">
            <v>2.5999907308708572</v>
          </cell>
          <cell r="BR22">
            <v>3.5188363899177766</v>
          </cell>
          <cell r="BS22">
            <v>3.2290439411790328</v>
          </cell>
          <cell r="BT22">
            <v>2.8535317242253964</v>
          </cell>
          <cell r="BU22">
            <v>4.0861727284907214</v>
          </cell>
          <cell r="BV22">
            <v>-0.67420007099335899</v>
          </cell>
          <cell r="BW22">
            <v>2.0689660655536826</v>
          </cell>
          <cell r="BX22">
            <v>3.5557691573694234</v>
          </cell>
          <cell r="BY22">
            <v>2.1005302944826632</v>
          </cell>
          <cell r="BZ22">
            <v>1.3681181073328712</v>
          </cell>
          <cell r="CA22">
            <v>1.5027479276076257</v>
          </cell>
          <cell r="CB22">
            <v>-0.41263819942817831</v>
          </cell>
          <cell r="CC22">
            <v>0.97752469695007227</v>
          </cell>
          <cell r="CD22">
            <v>2.3562852765142184</v>
          </cell>
          <cell r="CE22">
            <v>2.3656390774288658</v>
          </cell>
          <cell r="CF22">
            <v>2.2709039606826376</v>
          </cell>
          <cell r="CG22">
            <v>2.1981064520798741</v>
          </cell>
          <cell r="CH22">
            <v>0</v>
          </cell>
          <cell r="CI22">
            <v>0</v>
          </cell>
        </row>
        <row r="23">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row>
        <row r="24">
          <cell r="BM24">
            <v>3.2967032967032934</v>
          </cell>
          <cell r="BN24">
            <v>3.3615078208491118</v>
          </cell>
          <cell r="BO24">
            <v>2.772816994078418</v>
          </cell>
          <cell r="BP24">
            <v>2.5928297055057588</v>
          </cell>
          <cell r="BQ24">
            <v>3.3385335413416271</v>
          </cell>
          <cell r="BR24">
            <v>4.4685990338164512</v>
          </cell>
          <cell r="BS24">
            <v>4.2650701899256882</v>
          </cell>
          <cell r="BT24">
            <v>3.2768779946936846</v>
          </cell>
          <cell r="BU24">
            <v>3.5290720925319139</v>
          </cell>
          <cell r="BV24">
            <v>-0.79512134961373637</v>
          </cell>
          <cell r="BW24">
            <v>1.1986760356631028</v>
          </cell>
          <cell r="BX24">
            <v>2.6712730519085075</v>
          </cell>
          <cell r="BY24">
            <v>2.0347873140455408</v>
          </cell>
          <cell r="BZ24">
            <v>1.0814952749727953</v>
          </cell>
          <cell r="CA24">
            <v>1.3490756262706884</v>
          </cell>
          <cell r="CB24">
            <v>0.90663819615571606</v>
          </cell>
          <cell r="CC24">
            <v>1.8860976602619257</v>
          </cell>
          <cell r="CD24">
            <v>2.834064437012874</v>
          </cell>
          <cell r="CE24">
            <v>2.5449814158141257</v>
          </cell>
          <cell r="CF24">
            <v>2.5855280067832518</v>
          </cell>
          <cell r="CG24">
            <v>2.5624349832936346</v>
          </cell>
          <cell r="CH24">
            <v>0</v>
          </cell>
          <cell r="CI24">
            <v>0</v>
          </cell>
        </row>
        <row r="25">
          <cell r="BM25">
            <v>2.0637991764647698</v>
          </cell>
          <cell r="BN25">
            <v>4.5788168959315403</v>
          </cell>
          <cell r="BO25">
            <v>2.1148036253776543</v>
          </cell>
          <cell r="BP25">
            <v>2.8903049613108731</v>
          </cell>
          <cell r="BQ25">
            <v>2.8666224286662274</v>
          </cell>
          <cell r="BR25">
            <v>2.2319700683782679</v>
          </cell>
          <cell r="BS25">
            <v>2.1495877502944745</v>
          </cell>
          <cell r="BT25">
            <v>3.7285343656055612</v>
          </cell>
          <cell r="BU25">
            <v>4.6489256959552963</v>
          </cell>
          <cell r="BV25">
            <v>0.95696448210675233</v>
          </cell>
          <cell r="BW25">
            <v>0.62611699241381724</v>
          </cell>
          <cell r="BX25">
            <v>4.0218819295951302</v>
          </cell>
          <cell r="BY25">
            <v>2.024070866353755</v>
          </cell>
          <cell r="BZ25">
            <v>0.89992420579710486</v>
          </cell>
          <cell r="CA25">
            <v>2.4146977782938857</v>
          </cell>
          <cell r="CB25">
            <v>1.9388624459516612</v>
          </cell>
          <cell r="CC25">
            <v>0.86586290164450219</v>
          </cell>
          <cell r="CD25">
            <v>2.1033265188336721</v>
          </cell>
          <cell r="CE25">
            <v>3.0687831806944836</v>
          </cell>
          <cell r="CF25">
            <v>3.6067421086049309</v>
          </cell>
          <cell r="CG25">
            <v>3.4313017239196539</v>
          </cell>
          <cell r="CH25">
            <v>0</v>
          </cell>
          <cell r="CI25">
            <v>0</v>
          </cell>
        </row>
        <row r="26">
          <cell r="BM26">
            <v>2.0618556701030886</v>
          </cell>
          <cell r="BN26">
            <v>4.9902696691687645</v>
          </cell>
          <cell r="BO26">
            <v>1.5137472968798349</v>
          </cell>
          <cell r="BP26">
            <v>3.1953743152769021</v>
          </cell>
          <cell r="BQ26">
            <v>3.2270295319543583</v>
          </cell>
          <cell r="BR26">
            <v>1.0774190915397919</v>
          </cell>
          <cell r="BS26">
            <v>1.1184237089675935</v>
          </cell>
          <cell r="BT26">
            <v>5.2141431081296856</v>
          </cell>
          <cell r="BU26">
            <v>5.9426189846386315</v>
          </cell>
          <cell r="BV26">
            <v>-0.65708543937643116</v>
          </cell>
          <cell r="BW26">
            <v>5.9858064269538547E-2</v>
          </cell>
          <cell r="BX26">
            <v>5.10831612242227</v>
          </cell>
          <cell r="BY26">
            <v>1.6371595093938984</v>
          </cell>
          <cell r="BZ26">
            <v>1.0092474430632361</v>
          </cell>
          <cell r="CA26">
            <v>2.1584975478450024</v>
          </cell>
          <cell r="CB26">
            <v>1.3480499925300695</v>
          </cell>
          <cell r="CC26">
            <v>-1.2367374336851455</v>
          </cell>
          <cell r="CD26">
            <v>1.06605130523167</v>
          </cell>
          <cell r="CE26">
            <v>2.6369339112282169</v>
          </cell>
          <cell r="CF26">
            <v>3.5911592555571565</v>
          </cell>
          <cell r="CG26">
            <v>3.3031706926325581</v>
          </cell>
          <cell r="CH26">
            <v>0</v>
          </cell>
          <cell r="CI26">
            <v>0</v>
          </cell>
        </row>
        <row r="27">
          <cell r="BM27">
            <v>2.0923405390979535</v>
          </cell>
          <cell r="BN27">
            <v>3.9002457259371579</v>
          </cell>
          <cell r="BO27">
            <v>2.9990439289488262</v>
          </cell>
          <cell r="BP27">
            <v>2.5062289315550208</v>
          </cell>
          <cell r="BQ27">
            <v>2.1971213421027396</v>
          </cell>
          <cell r="BR27">
            <v>3.6142330830574299</v>
          </cell>
          <cell r="BS27">
            <v>3.3756413718606382</v>
          </cell>
          <cell r="BT27">
            <v>1.945489376523863</v>
          </cell>
          <cell r="BU27">
            <v>3.082147902783027</v>
          </cell>
          <cell r="BV27">
            <v>2.9425948728317093</v>
          </cell>
          <cell r="BW27">
            <v>1.2510283030865927</v>
          </cell>
          <cell r="BX27">
            <v>2.6268006487105451</v>
          </cell>
          <cell r="BY27">
            <v>2.5433372426839096</v>
          </cell>
          <cell r="BZ27">
            <v>0.75557816800621547</v>
          </cell>
          <cell r="CA27">
            <v>2.7230607685885708</v>
          </cell>
          <cell r="CB27">
            <v>2.7778396154080589</v>
          </cell>
          <cell r="CC27">
            <v>3.7614673035378776</v>
          </cell>
          <cell r="CD27">
            <v>3.4417139683410065</v>
          </cell>
          <cell r="CE27">
            <v>3.6130941676501833</v>
          </cell>
          <cell r="CF27">
            <v>3.6261955456122825</v>
          </cell>
          <cell r="CG27">
            <v>3.5912048037526652</v>
          </cell>
          <cell r="CH27">
            <v>0</v>
          </cell>
          <cell r="CI27">
            <v>0</v>
          </cell>
        </row>
        <row r="28">
          <cell r="BM28">
            <v>3.4072900158478387</v>
          </cell>
          <cell r="BN28">
            <v>0.6257982120051202</v>
          </cell>
          <cell r="BO28">
            <v>1.772644582645841</v>
          </cell>
          <cell r="BP28">
            <v>2.4775523777851829</v>
          </cell>
          <cell r="BQ28">
            <v>1.289956190167115</v>
          </cell>
          <cell r="BR28">
            <v>1.5498598317981687</v>
          </cell>
          <cell r="BS28">
            <v>-0.17746578853968062</v>
          </cell>
          <cell r="BT28">
            <v>2.5406131479140508</v>
          </cell>
          <cell r="BU28">
            <v>3.1788382081657893</v>
          </cell>
          <cell r="BV28">
            <v>0.9710923949268554</v>
          </cell>
          <cell r="BW28">
            <v>0.70339690409206923</v>
          </cell>
          <cell r="BX28">
            <v>-0.1796153638523808</v>
          </cell>
          <cell r="BY28">
            <v>-0.27371557861045392</v>
          </cell>
          <cell r="BZ28">
            <v>0.34319421848887027</v>
          </cell>
          <cell r="CA28">
            <v>0.34154248527490194</v>
          </cell>
          <cell r="CB28">
            <v>1.7375132039205456</v>
          </cell>
          <cell r="CC28">
            <v>1.8578001062402656</v>
          </cell>
          <cell r="CD28">
            <v>0.75995885883836789</v>
          </cell>
          <cell r="CE28">
            <v>1.5616612364705715</v>
          </cell>
          <cell r="CF28">
            <v>1.6671749629522967</v>
          </cell>
          <cell r="CG28">
            <v>1.6507754720588124</v>
          </cell>
          <cell r="CH28">
            <v>0</v>
          </cell>
          <cell r="CI28">
            <v>0</v>
          </cell>
        </row>
        <row r="29">
          <cell r="BM29">
            <v>3.6651668541432558</v>
          </cell>
          <cell r="BN29">
            <v>4.5799801067004227</v>
          </cell>
          <cell r="BO29">
            <v>5.4385889066620479</v>
          </cell>
          <cell r="BP29">
            <v>4.0264053466726537</v>
          </cell>
          <cell r="BQ29">
            <v>5.1909660636159654</v>
          </cell>
          <cell r="BR29">
            <v>5.9839628297362255</v>
          </cell>
          <cell r="BS29">
            <v>5.6708502739968081</v>
          </cell>
          <cell r="BT29">
            <v>6.3192478838368507</v>
          </cell>
          <cell r="BU29">
            <v>3.2779843513199216</v>
          </cell>
          <cell r="BV29">
            <v>0.61606798168037979</v>
          </cell>
          <cell r="BW29">
            <v>-0.87185304657979878</v>
          </cell>
          <cell r="BX29">
            <v>0.71800577508452146</v>
          </cell>
          <cell r="BY29">
            <v>1.9671962085308126</v>
          </cell>
          <cell r="BZ29">
            <v>1.9004495005697799</v>
          </cell>
          <cell r="CA29">
            <v>2.3583766904609265</v>
          </cell>
          <cell r="CB29">
            <v>3.5901127307489671</v>
          </cell>
          <cell r="CC29">
            <v>4.5251042592390576</v>
          </cell>
          <cell r="CD29">
            <v>4.6347890362703339</v>
          </cell>
          <cell r="CE29">
            <v>3.7209736239959068</v>
          </cell>
          <cell r="CF29">
            <v>4.0580441107947287</v>
          </cell>
          <cell r="CG29">
            <v>4.1041919379721952</v>
          </cell>
          <cell r="CH29">
            <v>0</v>
          </cell>
          <cell r="CI29">
            <v>0</v>
          </cell>
        </row>
        <row r="30">
          <cell r="BM30">
            <v>4.0307948805962974</v>
          </cell>
          <cell r="BN30">
            <v>5.4348338439783106</v>
          </cell>
          <cell r="BO30">
            <v>5.6777539341917231</v>
          </cell>
          <cell r="BP30">
            <v>5.2754040104915729</v>
          </cell>
          <cell r="BQ30">
            <v>6.4054651396423816</v>
          </cell>
          <cell r="BR30">
            <v>6.4655009630272708</v>
          </cell>
          <cell r="BS30">
            <v>5.7607037707069511</v>
          </cell>
          <cell r="BT30">
            <v>6.158007714237824</v>
          </cell>
          <cell r="BU30">
            <v>4.519445035087343</v>
          </cell>
          <cell r="BV30">
            <v>1.6600234693390108</v>
          </cell>
          <cell r="BW30">
            <v>-0.17956850037256999</v>
          </cell>
          <cell r="BX30">
            <v>1.3200684058465184</v>
          </cell>
          <cell r="BY30">
            <v>2.1434800069854636</v>
          </cell>
          <cell r="BZ30">
            <v>2.4315210930720288</v>
          </cell>
          <cell r="CA30">
            <v>2.8322246019778801</v>
          </cell>
          <cell r="CB30">
            <v>3.866033540528476</v>
          </cell>
          <cell r="CC30">
            <v>4.690303134103706</v>
          </cell>
          <cell r="CD30">
            <v>4.7754147809560212</v>
          </cell>
          <cell r="CE30">
            <v>4.1043695726443676</v>
          </cell>
          <cell r="CF30">
            <v>4.1588543446808632</v>
          </cell>
          <cell r="CG30">
            <v>4.1274267735939336</v>
          </cell>
          <cell r="CH30">
            <v>0</v>
          </cell>
          <cell r="CI30">
            <v>0</v>
          </cell>
        </row>
        <row r="31">
          <cell r="BM31">
            <v>3.2272503468958686</v>
          </cell>
          <cell r="BN31">
            <v>4.4748937646344453</v>
          </cell>
          <cell r="BO31">
            <v>5.3332779945214766</v>
          </cell>
          <cell r="BP31">
            <v>4.8071240001575779</v>
          </cell>
          <cell r="BQ31">
            <v>4.7934132862137808</v>
          </cell>
          <cell r="BR31">
            <v>6.1168113654301539</v>
          </cell>
          <cell r="BS31">
            <v>5.4396700361743235</v>
          </cell>
          <cell r="BT31">
            <v>5.7561241503142062</v>
          </cell>
          <cell r="BU31">
            <v>3.6517356401224874</v>
          </cell>
          <cell r="BV31">
            <v>0.95900043524449075</v>
          </cell>
          <cell r="BW31">
            <v>-0.7363349957729306</v>
          </cell>
          <cell r="BX31">
            <v>0.56457137319883277</v>
          </cell>
          <cell r="BY31">
            <v>1.8921300416022666</v>
          </cell>
          <cell r="BZ31">
            <v>1.8593005618577856</v>
          </cell>
          <cell r="CA31">
            <v>2.2232140335334818</v>
          </cell>
          <cell r="CB31">
            <v>3.2821403657552262</v>
          </cell>
          <cell r="CC31">
            <v>4.3879275112457847</v>
          </cell>
          <cell r="CD31">
            <v>4.437592138215563</v>
          </cell>
          <cell r="CE31">
            <v>3.8130972226659599</v>
          </cell>
          <cell r="CF31">
            <v>4.2263968169070187</v>
          </cell>
          <cell r="CG31">
            <v>4.2741953628285847</v>
          </cell>
          <cell r="CH31">
            <v>0</v>
          </cell>
          <cell r="CI31">
            <v>0</v>
          </cell>
        </row>
        <row r="32">
          <cell r="BM32">
            <v>7.0683329511579736</v>
          </cell>
          <cell r="BN32">
            <v>14.520533276222086</v>
          </cell>
          <cell r="BO32">
            <v>4.8903642059002301</v>
          </cell>
          <cell r="BP32">
            <v>-1.782928459993921E-2</v>
          </cell>
          <cell r="BQ32">
            <v>-1.1903169720476245</v>
          </cell>
          <cell r="BR32">
            <v>9.4838476809239811</v>
          </cell>
          <cell r="BS32">
            <v>14.279238440616531</v>
          </cell>
          <cell r="BT32">
            <v>0.79661750387653651</v>
          </cell>
          <cell r="BU32">
            <v>4.9428464816894415</v>
          </cell>
          <cell r="BV32">
            <v>-3.9169851020317137</v>
          </cell>
          <cell r="BW32">
            <v>7.6820483853914325</v>
          </cell>
          <cell r="BX32">
            <v>2.9891573851330944</v>
          </cell>
          <cell r="BY32">
            <v>1.5699578556919809</v>
          </cell>
          <cell r="BZ32">
            <v>7.8778843509794845</v>
          </cell>
          <cell r="CA32">
            <v>4.1453604740624934</v>
          </cell>
          <cell r="CB32">
            <v>-0.7548422440267879</v>
          </cell>
          <cell r="CC32">
            <v>2.1112659799079756</v>
          </cell>
          <cell r="CD32">
            <v>2.0412731408924309</v>
          </cell>
          <cell r="CE32">
            <v>3.0393750369906223</v>
          </cell>
          <cell r="CF32">
            <v>2.4037102293823143</v>
          </cell>
          <cell r="CG32">
            <v>2.2619159359194558</v>
          </cell>
          <cell r="CH32">
            <v>0</v>
          </cell>
          <cell r="CI32">
            <v>0</v>
          </cell>
        </row>
        <row r="33">
          <cell r="BM33">
            <v>2.5684352821899092</v>
          </cell>
          <cell r="BN33">
            <v>1.4299835255354343</v>
          </cell>
          <cell r="BO33">
            <v>0.51975051975051234</v>
          </cell>
          <cell r="BP33">
            <v>-3.8973629782833439</v>
          </cell>
          <cell r="BQ33">
            <v>-1.3181787611809972</v>
          </cell>
          <cell r="BR33">
            <v>2.9305527158726759</v>
          </cell>
          <cell r="BS33">
            <v>3.1053433092763356</v>
          </cell>
          <cell r="BT33">
            <v>-0.99216542512203121</v>
          </cell>
          <cell r="BU33">
            <v>-1.2592184206259041</v>
          </cell>
          <cell r="BV33">
            <v>6.286391440522196E-2</v>
          </cell>
          <cell r="BW33">
            <v>-3.4804203787452428</v>
          </cell>
          <cell r="BX33">
            <v>-1.0208287423585862</v>
          </cell>
          <cell r="BY33">
            <v>-0.38171689456299518</v>
          </cell>
          <cell r="BZ33">
            <v>-1.1954098469213146</v>
          </cell>
          <cell r="CA33">
            <v>-1.5020434493033432</v>
          </cell>
          <cell r="CB33">
            <v>-1.500991943251909</v>
          </cell>
          <cell r="CC33">
            <v>-0.25077535277651136</v>
          </cell>
          <cell r="CD33">
            <v>0.76107790694738819</v>
          </cell>
          <cell r="CE33">
            <v>-0.40122280562998497</v>
          </cell>
          <cell r="CF33">
            <v>-0.18133186117107425</v>
          </cell>
          <cell r="CG33">
            <v>-0.17294043532453815</v>
          </cell>
          <cell r="CH33">
            <v>0</v>
          </cell>
          <cell r="CJ33">
            <v>0</v>
          </cell>
        </row>
        <row r="34">
          <cell r="BM34">
            <v>-0.96614950634697871</v>
          </cell>
          <cell r="BN34">
            <v>-4.1871395001068077</v>
          </cell>
          <cell r="BO34">
            <v>-2.8019323671497829</v>
          </cell>
          <cell r="BP34">
            <v>-2.385685884691831</v>
          </cell>
          <cell r="BQ34">
            <v>-1.3159956133479342</v>
          </cell>
          <cell r="BR34">
            <v>0.40482616288295387</v>
          </cell>
          <cell r="BS34">
            <v>0.48225156138828545</v>
          </cell>
          <cell r="BT34">
            <v>-1.4703383162864145</v>
          </cell>
          <cell r="BU34">
            <v>1.8905033250499981</v>
          </cell>
          <cell r="BV34">
            <v>1.5102034738598467</v>
          </cell>
          <cell r="BW34">
            <v>0.99238992724996222</v>
          </cell>
          <cell r="BX34">
            <v>2.3533171114683902</v>
          </cell>
          <cell r="BY34">
            <v>1.7775852475361897</v>
          </cell>
          <cell r="BZ34">
            <v>-1.8674758474933724</v>
          </cell>
          <cell r="CA34">
            <v>1.2769518271493614</v>
          </cell>
          <cell r="CB34">
            <v>-2.6721099767190051</v>
          </cell>
          <cell r="CC34">
            <v>1.1389585580828596</v>
          </cell>
          <cell r="CD34">
            <v>-1.4879529414235708</v>
          </cell>
          <cell r="CE34">
            <v>1.1139255426592265</v>
          </cell>
          <cell r="CF34">
            <v>0.55102652627976922</v>
          </cell>
          <cell r="CG34">
            <v>0.28864855230119668</v>
          </cell>
          <cell r="CH34">
            <v>0</v>
          </cell>
          <cell r="CJ34">
            <v>0</v>
          </cell>
        </row>
        <row r="35">
          <cell r="BM35">
            <v>5.0820509908579936</v>
          </cell>
          <cell r="BN35">
            <v>0.68086026153680623</v>
          </cell>
          <cell r="BO35">
            <v>-0.52060970373552951</v>
          </cell>
          <cell r="BP35">
            <v>3.7766387914755937</v>
          </cell>
          <cell r="BQ35">
            <v>3.883545619963622</v>
          </cell>
          <cell r="BR35">
            <v>4.9594635171654442</v>
          </cell>
          <cell r="BS35">
            <v>3.8954846707671789</v>
          </cell>
          <cell r="BT35">
            <v>0.87237264800365111</v>
          </cell>
          <cell r="BU35">
            <v>5.1454293408261851</v>
          </cell>
          <cell r="BV35">
            <v>-7.2743093566456913</v>
          </cell>
          <cell r="BW35">
            <v>6.8867362361635962</v>
          </cell>
          <cell r="BX35">
            <v>8.8503259667567633</v>
          </cell>
          <cell r="BY35">
            <v>2.9741779348925594</v>
          </cell>
          <cell r="BZ35">
            <v>-0.74011207233327081</v>
          </cell>
          <cell r="CA35">
            <v>-1.4297334808218687</v>
          </cell>
          <cell r="CB35">
            <v>-4.5608080537863662</v>
          </cell>
          <cell r="CC35">
            <v>-4.238182096508667</v>
          </cell>
          <cell r="CD35">
            <v>4.0764750309295712</v>
          </cell>
          <cell r="CE35">
            <v>1.6626994611196526</v>
          </cell>
          <cell r="CF35">
            <v>3.9182501546206447</v>
          </cell>
          <cell r="CG35">
            <v>4.0855113785185706</v>
          </cell>
          <cell r="CH35">
            <v>0</v>
          </cell>
          <cell r="CJ35">
            <v>0</v>
          </cell>
        </row>
        <row r="36">
          <cell r="BM36">
            <v>19.128664495113995</v>
          </cell>
          <cell r="BN36">
            <v>0.25292227766767295</v>
          </cell>
          <cell r="BO36">
            <v>-3.7842629210418885</v>
          </cell>
          <cell r="BP36">
            <v>20.841896392885015</v>
          </cell>
          <cell r="BQ36">
            <v>16.520056298381412</v>
          </cell>
          <cell r="BR36">
            <v>15.350546076803035</v>
          </cell>
          <cell r="BS36">
            <v>13.45608447139927</v>
          </cell>
          <cell r="BT36">
            <v>7.3846094681383079</v>
          </cell>
          <cell r="BU36">
            <v>15.116236594490177</v>
          </cell>
          <cell r="BV36">
            <v>-23.469550923091482</v>
          </cell>
          <cell r="BW36">
            <v>15.221907905140128</v>
          </cell>
          <cell r="BX36">
            <v>23.767960607761498</v>
          </cell>
          <cell r="BY36">
            <v>5.8349642918428923</v>
          </cell>
          <cell r="BZ36">
            <v>-3.0510694984085331</v>
          </cell>
          <cell r="CA36">
            <v>-4.4374343673428518</v>
          </cell>
          <cell r="CB36">
            <v>-14.320794708840584</v>
          </cell>
          <cell r="CC36">
            <v>-14.974431984940475</v>
          </cell>
          <cell r="CD36">
            <v>10.380868388865494</v>
          </cell>
          <cell r="CE36">
            <v>-0.63825909657044599</v>
          </cell>
          <cell r="CF36">
            <v>8.0092121002543539</v>
          </cell>
          <cell r="CG36">
            <v>9.0014071709799701</v>
          </cell>
          <cell r="CH36">
            <v>0</v>
          </cell>
          <cell r="CJ36">
            <v>0</v>
          </cell>
        </row>
        <row r="37">
          <cell r="BM37">
            <v>3.1353304024810082</v>
          </cell>
          <cell r="BN37">
            <v>5.3200277566665299</v>
          </cell>
          <cell r="BO37">
            <v>5.8701722461017285</v>
          </cell>
          <cell r="BP37">
            <v>3.1679706021811382</v>
          </cell>
          <cell r="BQ37">
            <v>3.4498606842271538</v>
          </cell>
          <cell r="BR37">
            <v>5.0785805520075362</v>
          </cell>
          <cell r="BS37">
            <v>4.0456623417805302</v>
          </cell>
          <cell r="BT37">
            <v>3.6100218418245502</v>
          </cell>
          <cell r="BU37">
            <v>3.8236654564815087</v>
          </cell>
          <cell r="BV37">
            <v>2.9713643797504412</v>
          </cell>
          <cell r="BW37">
            <v>3.0664592094890972</v>
          </cell>
          <cell r="BX37">
            <v>3.8585604573134882</v>
          </cell>
          <cell r="BY37">
            <v>3.8340870617956018</v>
          </cell>
          <cell r="BZ37">
            <v>1.326088185287231</v>
          </cell>
          <cell r="CA37">
            <v>2.1255946589563259</v>
          </cell>
          <cell r="CB37">
            <v>2.1820262327174609</v>
          </cell>
          <cell r="CC37">
            <v>7.6318387829512693</v>
          </cell>
          <cell r="CD37">
            <v>3.3790915436702753</v>
          </cell>
          <cell r="CE37">
            <v>3.1290276993146557</v>
          </cell>
          <cell r="CF37">
            <v>2.892107561246307</v>
          </cell>
          <cell r="CG37">
            <v>2.808338831759122</v>
          </cell>
          <cell r="CH37">
            <v>0</v>
          </cell>
          <cell r="CJ37">
            <v>0</v>
          </cell>
        </row>
        <row r="38">
          <cell r="BM38">
            <v>2.5607461343368789</v>
          </cell>
          <cell r="BN38">
            <v>1.4677728142948703</v>
          </cell>
          <cell r="BO38">
            <v>2.7672955974842663</v>
          </cell>
          <cell r="BP38">
            <v>1.1704406364748872</v>
          </cell>
          <cell r="BQ38">
            <v>1.8449905482041833</v>
          </cell>
          <cell r="BR38">
            <v>0.76471898433439822</v>
          </cell>
          <cell r="BS38">
            <v>1.6872973769525474</v>
          </cell>
          <cell r="BT38">
            <v>-0.61901311499169243</v>
          </cell>
          <cell r="BU38">
            <v>1.1785146370147412</v>
          </cell>
          <cell r="BV38">
            <v>-2.8185780859409082</v>
          </cell>
          <cell r="BW38">
            <v>-5.6221716185664272</v>
          </cell>
          <cell r="BX38">
            <v>-1.7297487558788065</v>
          </cell>
          <cell r="BY38">
            <v>-0.31476610407991951</v>
          </cell>
          <cell r="BZ38">
            <v>-0.4091165376597875</v>
          </cell>
          <cell r="CA38">
            <v>1.2718525414501591</v>
          </cell>
          <cell r="CB38">
            <v>-0.6832468539392933</v>
          </cell>
          <cell r="CC38">
            <v>2.63921283207348</v>
          </cell>
          <cell r="CD38">
            <v>-0.37608384462069228</v>
          </cell>
          <cell r="CE38">
            <v>0.47866450965254032</v>
          </cell>
          <cell r="CF38">
            <v>0.49070793973973825</v>
          </cell>
          <cell r="CG38">
            <v>0.44451127567654847</v>
          </cell>
          <cell r="CH38">
            <v>0</v>
          </cell>
          <cell r="CJ38">
            <v>0</v>
          </cell>
        </row>
        <row r="39">
          <cell r="BM39">
            <v>0.56297790101673939</v>
          </cell>
          <cell r="BN39">
            <v>1.737967914438475</v>
          </cell>
          <cell r="BO39">
            <v>1.585085413929056</v>
          </cell>
          <cell r="BP39">
            <v>3.8483305036785249</v>
          </cell>
          <cell r="BQ39">
            <v>4.1961852861035771</v>
          </cell>
          <cell r="BR39">
            <v>3.474297668858338</v>
          </cell>
          <cell r="BS39">
            <v>2.1590006498663978</v>
          </cell>
          <cell r="BT39">
            <v>2.3236499858637467</v>
          </cell>
          <cell r="BU39">
            <v>4.1610858790819583</v>
          </cell>
          <cell r="BV39">
            <v>3.2625202763553038</v>
          </cell>
          <cell r="BW39">
            <v>3.6479760582103657</v>
          </cell>
          <cell r="BX39">
            <v>2.0981924056625427</v>
          </cell>
          <cell r="BY39">
            <v>2.6981822772027146</v>
          </cell>
          <cell r="BZ39">
            <v>2.2103300012527733</v>
          </cell>
          <cell r="CA39">
            <v>0.86989200064754302</v>
          </cell>
          <cell r="CB39">
            <v>0.66006146664786458</v>
          </cell>
          <cell r="CC39">
            <v>-1.6505504492080048</v>
          </cell>
          <cell r="CD39">
            <v>8.7829251135501524E-3</v>
          </cell>
          <cell r="CE39">
            <v>2.1710734611244051</v>
          </cell>
          <cell r="CF39">
            <v>0.76908820036565517</v>
          </cell>
          <cell r="CG39">
            <v>0.62211176352341313</v>
          </cell>
          <cell r="CH39">
            <v>0</v>
          </cell>
          <cell r="CJ39">
            <v>0</v>
          </cell>
        </row>
        <row r="40">
          <cell r="BM40">
            <v>4.211993575952258</v>
          </cell>
          <cell r="BN40">
            <v>2.9687999767380773</v>
          </cell>
          <cell r="BO40">
            <v>0.54783689144922887</v>
          </cell>
          <cell r="BP40">
            <v>0.69089479301239831</v>
          </cell>
          <cell r="BQ40">
            <v>1.0543344862211619</v>
          </cell>
          <cell r="BR40">
            <v>2.274358266629867</v>
          </cell>
          <cell r="BS40">
            <v>4.2721433583418778</v>
          </cell>
          <cell r="BT40">
            <v>2.599270129668461</v>
          </cell>
          <cell r="BU40">
            <v>3.2546123636774427</v>
          </cell>
          <cell r="BV40">
            <v>3.8301110759574777</v>
          </cell>
          <cell r="BW40">
            <v>2.6976291536987862</v>
          </cell>
          <cell r="BX40">
            <v>1.638193414050042</v>
          </cell>
          <cell r="BY40">
            <v>0.69210002380488145</v>
          </cell>
          <cell r="BZ40">
            <v>0.82115338032036023</v>
          </cell>
          <cell r="CA40">
            <v>1.0404479237561819</v>
          </cell>
          <cell r="CB40">
            <v>1.6863719564924908</v>
          </cell>
          <cell r="CC40">
            <v>1.4509288451613664</v>
          </cell>
          <cell r="CD40">
            <v>0.57676424655173397</v>
          </cell>
          <cell r="CE40">
            <v>2.2497030603345207</v>
          </cell>
          <cell r="CF40">
            <v>2.3026004590033597</v>
          </cell>
          <cell r="CG40">
            <v>2.2475080267420866</v>
          </cell>
          <cell r="CH40">
            <v>0</v>
          </cell>
          <cell r="CJ40">
            <v>0</v>
          </cell>
        </row>
        <row r="41">
          <cell r="BM41">
            <v>3.2536035095049072</v>
          </cell>
          <cell r="BN41">
            <v>3.2825856051793023</v>
          </cell>
          <cell r="BO41">
            <v>2.8452497551420186</v>
          </cell>
          <cell r="BP41">
            <v>3.0093805056901966</v>
          </cell>
          <cell r="BQ41">
            <v>3.5039060694309758</v>
          </cell>
          <cell r="BR41">
            <v>4.4303514805055526</v>
          </cell>
          <cell r="BS41">
            <v>4.1611427105161951</v>
          </cell>
          <cell r="BT41">
            <v>3.2982016751519181</v>
          </cell>
          <cell r="BU41">
            <v>3.8651695932837544</v>
          </cell>
          <cell r="BV41">
            <v>-1.1517019902218646</v>
          </cell>
          <cell r="BW41">
            <v>1.476493178685919</v>
          </cell>
          <cell r="BX41">
            <v>3.0383954946152838</v>
          </cell>
          <cell r="BY41">
            <v>2.0336470356501013</v>
          </cell>
          <cell r="BZ41">
            <v>1.1256308540424771</v>
          </cell>
          <cell r="CA41">
            <v>1.3084862681605469</v>
          </cell>
          <cell r="CB41">
            <v>0.58364883594326999</v>
          </cell>
          <cell r="CC41">
            <v>1.4765026933699297</v>
          </cell>
          <cell r="CD41">
            <v>2.8767339572392232</v>
          </cell>
          <cell r="CE41">
            <v>2.6530284654594074</v>
          </cell>
          <cell r="CF41">
            <v>2.6243328942273427</v>
          </cell>
          <cell r="CG41">
            <v>2.6129782840976592</v>
          </cell>
          <cell r="CH41">
            <v>0</v>
          </cell>
          <cell r="CI41">
            <v>0</v>
          </cell>
          <cell r="CJ41">
            <v>0</v>
          </cell>
        </row>
        <row r="42">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row>
        <row r="43">
          <cell r="BM43">
            <v>4.4717705892300996</v>
          </cell>
          <cell r="BN43">
            <v>5.4088428452501933</v>
          </cell>
          <cell r="BO43">
            <v>1.6036680341355258</v>
          </cell>
          <cell r="BP43">
            <v>1.7985922183357075</v>
          </cell>
          <cell r="BQ43">
            <v>1.2026215877998514</v>
          </cell>
          <cell r="BR43">
            <v>1.9595925724106327</v>
          </cell>
          <cell r="BS43">
            <v>3.2251433739645181</v>
          </cell>
          <cell r="BT43">
            <v>3.2542713767971647</v>
          </cell>
          <cell r="BU43">
            <v>3.1098758915479516</v>
          </cell>
          <cell r="BV43">
            <v>0.72990120410133252</v>
          </cell>
          <cell r="BW43">
            <v>1.3696775843138806</v>
          </cell>
          <cell r="BX43">
            <v>2.6033174795508196</v>
          </cell>
          <cell r="BY43">
            <v>2.6821749684497709</v>
          </cell>
          <cell r="BZ43">
            <v>2.24187038587004</v>
          </cell>
          <cell r="CA43">
            <v>2.8414932566060651</v>
          </cell>
          <cell r="CB43">
            <v>2.5764319656541588</v>
          </cell>
          <cell r="CC43">
            <v>3.074371159413761</v>
          </cell>
          <cell r="CD43">
            <v>3.4717644332045099</v>
          </cell>
          <cell r="CE43">
            <v>3.7017027875064659</v>
          </cell>
          <cell r="CF43">
            <v>3.4917097964843631</v>
          </cell>
          <cell r="CG43">
            <v>3.4308959463547928</v>
          </cell>
          <cell r="CH43">
            <v>0</v>
          </cell>
          <cell r="CI43">
            <v>0</v>
          </cell>
          <cell r="CJ43">
            <v>0</v>
          </cell>
        </row>
        <row r="44">
          <cell r="BM44">
            <v>2.4563278991229001</v>
          </cell>
          <cell r="BN44">
            <v>3.718283139672736</v>
          </cell>
          <cell r="BO44">
            <v>2.1240111573460485</v>
          </cell>
          <cell r="BP44">
            <v>2.4044596682114125</v>
          </cell>
          <cell r="BQ44">
            <v>4.8009444480881216</v>
          </cell>
          <cell r="BR44">
            <v>1.6125331163819459</v>
          </cell>
          <cell r="BS44">
            <v>1.759392321905149</v>
          </cell>
          <cell r="BT44">
            <v>4.0887283878386773</v>
          </cell>
          <cell r="BU44">
            <v>4.338401268683036</v>
          </cell>
          <cell r="BV44">
            <v>1.4416332293059804</v>
          </cell>
          <cell r="BW44">
            <v>-0.22657827434268196</v>
          </cell>
          <cell r="BX44">
            <v>2.9362203774920506</v>
          </cell>
          <cell r="BY44">
            <v>2.4768869471228001</v>
          </cell>
          <cell r="BZ44">
            <v>2.6734176334207786</v>
          </cell>
          <cell r="CA44">
            <v>2.8820491528942127</v>
          </cell>
          <cell r="CB44">
            <v>3.521503056146539</v>
          </cell>
          <cell r="CC44">
            <v>1.909389521063064</v>
          </cell>
          <cell r="CD44">
            <v>1.4188423848896419</v>
          </cell>
          <cell r="CE44">
            <v>3.6862479270188473</v>
          </cell>
          <cell r="CF44">
            <v>3.9703942065045683</v>
          </cell>
          <cell r="CG44">
            <v>3.9203739065988779</v>
          </cell>
          <cell r="CH44">
            <v>0</v>
          </cell>
          <cell r="CI44">
            <v>0</v>
          </cell>
          <cell r="CJ44">
            <v>0</v>
          </cell>
        </row>
        <row r="45">
          <cell r="BM45">
            <v>3.058801177923439</v>
          </cell>
          <cell r="BN45">
            <v>4.0418471748548113</v>
          </cell>
          <cell r="BO45">
            <v>0.94352159468438845</v>
          </cell>
          <cell r="BP45">
            <v>3.067403896787777</v>
          </cell>
          <cell r="BQ45">
            <v>4.7941414399455127</v>
          </cell>
          <cell r="BR45">
            <v>0.16251574371264904</v>
          </cell>
          <cell r="BS45">
            <v>0.53543179329091617</v>
          </cell>
          <cell r="BT45">
            <v>4.3446842848496603</v>
          </cell>
          <cell r="BU45">
            <v>5.5352618124858344</v>
          </cell>
          <cell r="BV45">
            <v>-1.2858443540276348</v>
          </cell>
          <cell r="BW45">
            <v>-0.88704050121740785</v>
          </cell>
          <cell r="BX45">
            <v>3.5294368771628983</v>
          </cell>
          <cell r="BY45">
            <v>1.9411203618331603</v>
          </cell>
          <cell r="BZ45">
            <v>1.190808632156156</v>
          </cell>
          <cell r="CA45">
            <v>3.1891291609933785</v>
          </cell>
          <cell r="CB45">
            <v>3.0444538309431257</v>
          </cell>
          <cell r="CC45">
            <v>5.7051424109000022E-3</v>
          </cell>
          <cell r="CD45">
            <v>0.10134458908003888</v>
          </cell>
          <cell r="CE45">
            <v>3.100275158277717</v>
          </cell>
          <cell r="CF45">
            <v>3.9271687199664647</v>
          </cell>
          <cell r="CG45">
            <v>3.6924334702322343</v>
          </cell>
          <cell r="CH45">
            <v>0</v>
          </cell>
          <cell r="CI45">
            <v>0</v>
          </cell>
          <cell r="CJ45">
            <v>0</v>
          </cell>
        </row>
        <row r="46">
          <cell r="BM46">
            <v>2.0776761914252226</v>
          </cell>
          <cell r="BN46">
            <v>2.8505186089078753</v>
          </cell>
          <cell r="BO46">
            <v>3.7372754668628243</v>
          </cell>
          <cell r="BP46">
            <v>1.5371242966284129</v>
          </cell>
          <cell r="BQ46">
            <v>4.4559585492227853</v>
          </cell>
          <cell r="BR46">
            <v>3.3298826777087371</v>
          </cell>
          <cell r="BS46">
            <v>3.3582401068625889</v>
          </cell>
          <cell r="BT46">
            <v>3.5106520466064972</v>
          </cell>
          <cell r="BU46">
            <v>3.5136114254701449</v>
          </cell>
          <cell r="BV46">
            <v>4.0491084057332953</v>
          </cell>
          <cell r="BW46">
            <v>1.0366959764748611</v>
          </cell>
          <cell r="BX46">
            <v>2.0397121621185641</v>
          </cell>
          <cell r="BY46">
            <v>3.1148375644202857</v>
          </cell>
          <cell r="BZ46">
            <v>4.271510383335932</v>
          </cell>
          <cell r="CA46">
            <v>2.4579912534747383</v>
          </cell>
          <cell r="CB46">
            <v>4.2802443183729917</v>
          </cell>
          <cell r="CC46">
            <v>4.2154522690878071</v>
          </cell>
          <cell r="CD46">
            <v>3.6908912000060705</v>
          </cell>
          <cell r="CE46">
            <v>4.4668308313138443</v>
          </cell>
          <cell r="CF46">
            <v>4.0160657913104183</v>
          </cell>
          <cell r="CG46">
            <v>4.1610074906256873</v>
          </cell>
          <cell r="CH46">
            <v>0</v>
          </cell>
          <cell r="CI46">
            <v>0</v>
          </cell>
          <cell r="CJ46">
            <v>0</v>
          </cell>
        </row>
        <row r="47">
          <cell r="BM47">
            <v>3.9674747627318983</v>
          </cell>
          <cell r="BN47">
            <v>4.7119784982687323</v>
          </cell>
          <cell r="BO47">
            <v>5.5243380737657599</v>
          </cell>
          <cell r="BP47">
            <v>2.7742472717710207</v>
          </cell>
          <cell r="BQ47">
            <v>3.918976545842217</v>
          </cell>
          <cell r="BR47">
            <v>2.7801715294021285</v>
          </cell>
          <cell r="BS47">
            <v>2.9505120475914923</v>
          </cell>
          <cell r="BT47">
            <v>4.3275678191231437</v>
          </cell>
          <cell r="BU47">
            <v>5.1719270216013058</v>
          </cell>
          <cell r="BV47">
            <v>1.1878857111753653</v>
          </cell>
          <cell r="BW47">
            <v>-9.4869535177704745E-2</v>
          </cell>
          <cell r="BX47">
            <v>0.49334600860161565</v>
          </cell>
          <cell r="BY47">
            <v>2.303016744927016</v>
          </cell>
          <cell r="BZ47">
            <v>1.5355376192603298</v>
          </cell>
          <cell r="CA47">
            <v>3.5165051954861726</v>
          </cell>
          <cell r="CB47">
            <v>1.2489929172557943</v>
          </cell>
          <cell r="CC47">
            <v>2.5098015905924211</v>
          </cell>
          <cell r="CD47">
            <v>3.5969153893440011</v>
          </cell>
          <cell r="CE47">
            <v>2.79341592019296</v>
          </cell>
          <cell r="CF47">
            <v>2.6332530561784266</v>
          </cell>
          <cell r="CG47">
            <v>2.6088846995162478</v>
          </cell>
          <cell r="CH47">
            <v>0</v>
          </cell>
          <cell r="CI47">
            <v>0</v>
          </cell>
          <cell r="CJ47">
            <v>0</v>
          </cell>
        </row>
        <row r="48">
          <cell r="BM48">
            <v>6.52626521460604</v>
          </cell>
          <cell r="BN48">
            <v>9.9977448695782591</v>
          </cell>
          <cell r="BO48">
            <v>3.2665892161552788</v>
          </cell>
          <cell r="BP48">
            <v>1.0125074449076763</v>
          </cell>
          <cell r="BQ48">
            <v>-0.71737421383646238</v>
          </cell>
          <cell r="BR48">
            <v>0.63017585535650678</v>
          </cell>
          <cell r="BS48">
            <v>2.2852459016393341</v>
          </cell>
          <cell r="BT48">
            <v>3.137737602974664</v>
          </cell>
          <cell r="BU48">
            <v>1.8438967325835074</v>
          </cell>
          <cell r="BV48">
            <v>1.3116902259044219</v>
          </cell>
          <cell r="BW48">
            <v>-0.67658664417604275</v>
          </cell>
          <cell r="BX48">
            <v>1.5749803332162717</v>
          </cell>
          <cell r="BY48">
            <v>3.2156475900557</v>
          </cell>
          <cell r="BZ48">
            <v>3.7395764513131833</v>
          </cell>
          <cell r="CA48">
            <v>4.7065879684002452</v>
          </cell>
          <cell r="CB48">
            <v>5.4258270839175253</v>
          </cell>
          <cell r="CC48">
            <v>6.3044548496943094</v>
          </cell>
          <cell r="CD48">
            <v>6.2851802002352599</v>
          </cell>
          <cell r="CE48">
            <v>6.0255611377622209</v>
          </cell>
          <cell r="CF48">
            <v>5.7931015707685622</v>
          </cell>
          <cell r="CG48">
            <v>5.6195933436220518</v>
          </cell>
          <cell r="CH48">
            <v>0</v>
          </cell>
          <cell r="CI48">
            <v>0</v>
          </cell>
          <cell r="CJ48">
            <v>0</v>
          </cell>
        </row>
        <row r="49">
          <cell r="BM49">
            <v>7.0271957548090018</v>
          </cell>
          <cell r="BN49">
            <v>10.627050674444034</v>
          </cell>
          <cell r="BO49">
            <v>3.8227055528093663</v>
          </cell>
          <cell r="BP49">
            <v>0.11426757657512947</v>
          </cell>
          <cell r="BQ49">
            <v>-0.25680859833231207</v>
          </cell>
          <cell r="BR49">
            <v>0.30514939605846964</v>
          </cell>
          <cell r="BS49">
            <v>1.5306122448979724</v>
          </cell>
          <cell r="BT49">
            <v>3.8661943256655853</v>
          </cell>
          <cell r="BU49">
            <v>4.1455702003354116</v>
          </cell>
          <cell r="BV49">
            <v>3.2353701564233091</v>
          </cell>
          <cell r="BW49">
            <v>-0.11428641702159054</v>
          </cell>
          <cell r="BX49">
            <v>2.3099734621536254</v>
          </cell>
          <cell r="BY49">
            <v>4.1138938445435587</v>
          </cell>
          <cell r="BZ49">
            <v>4.4844478232521574</v>
          </cell>
          <cell r="CA49">
            <v>5.5079831399302996</v>
          </cell>
          <cell r="CB49">
            <v>6.10915419959671</v>
          </cell>
          <cell r="CC49">
            <v>6.6417031261018122</v>
          </cell>
          <cell r="CD49">
            <v>6.5026822405226534</v>
          </cell>
          <cell r="CE49">
            <v>6.3950589460329068</v>
          </cell>
          <cell r="CF49">
            <v>6.0347303797417577</v>
          </cell>
          <cell r="CG49">
            <v>5.8284815015203435</v>
          </cell>
          <cell r="CH49">
            <v>0</v>
          </cell>
          <cell r="CI49">
            <v>0</v>
          </cell>
        </row>
        <row r="50">
          <cell r="BM50">
            <v>5.8083898965172098</v>
          </cell>
          <cell r="BN50">
            <v>10.232411399726569</v>
          </cell>
          <cell r="BO50">
            <v>4.3026140049608763</v>
          </cell>
          <cell r="BP50">
            <v>3.0488734412627602E-2</v>
          </cell>
          <cell r="BQ50">
            <v>-0.5669176140693144</v>
          </cell>
          <cell r="BR50">
            <v>0.1747233546884184</v>
          </cell>
          <cell r="BS50">
            <v>2.0318237454100259</v>
          </cell>
          <cell r="BT50">
            <v>2.8651031669865814</v>
          </cell>
          <cell r="BU50">
            <v>2.8134360602857087</v>
          </cell>
          <cell r="BV50">
            <v>2.1064911767783507</v>
          </cell>
          <cell r="BW50">
            <v>-0.16124566301654247</v>
          </cell>
          <cell r="BX50">
            <v>1.2581952654738686</v>
          </cell>
          <cell r="BY50">
            <v>2.8191207925404953</v>
          </cell>
          <cell r="BZ50">
            <v>3.4942109597137385</v>
          </cell>
          <cell r="CA50">
            <v>4.5642205505968318</v>
          </cell>
          <cell r="CB50">
            <v>5.2902979232108853</v>
          </cell>
          <cell r="CC50">
            <v>6.484666607575738</v>
          </cell>
          <cell r="CD50">
            <v>6.5177223440706564</v>
          </cell>
          <cell r="CE50">
            <v>6.102308136530751</v>
          </cell>
          <cell r="CF50">
            <v>5.8896337938881258</v>
          </cell>
          <cell r="CG50">
            <v>5.6998445200698784</v>
          </cell>
          <cell r="CH50">
            <v>0</v>
          </cell>
          <cell r="CI50">
            <v>0</v>
          </cell>
        </row>
        <row r="51">
          <cell r="BM51">
            <v>6.6982078853046296</v>
          </cell>
          <cell r="BN51">
            <v>19.292682271371405</v>
          </cell>
          <cell r="BO51">
            <v>-2.5974318540211949</v>
          </cell>
          <cell r="BP51">
            <v>7.2993038369914691</v>
          </cell>
          <cell r="BQ51">
            <v>-0.71993619727114688</v>
          </cell>
          <cell r="BR51">
            <v>10.267265898087242</v>
          </cell>
          <cell r="BS51">
            <v>12.922343860754507</v>
          </cell>
          <cell r="BT51">
            <v>3.8488605255357182</v>
          </cell>
          <cell r="BU51">
            <v>4.2285751320218061</v>
          </cell>
          <cell r="BV51">
            <v>0.83430484449671138</v>
          </cell>
          <cell r="BW51">
            <v>6.1358031042224797</v>
          </cell>
          <cell r="BX51">
            <v>2.6892728774390484</v>
          </cell>
          <cell r="BY51">
            <v>4.7083890460065314</v>
          </cell>
          <cell r="BZ51">
            <v>6.5548976386947402</v>
          </cell>
          <cell r="CA51">
            <v>3.0113643977547175</v>
          </cell>
          <cell r="CB51">
            <v>7.1523722908178193</v>
          </cell>
          <cell r="CC51">
            <v>5.7911086936080594</v>
          </cell>
          <cell r="CD51">
            <v>2.2476264118655576</v>
          </cell>
          <cell r="CE51">
            <v>1.8441116062577299</v>
          </cell>
          <cell r="CF51">
            <v>4.3564936399748448E-2</v>
          </cell>
          <cell r="CG51">
            <v>0.27858964032382227</v>
          </cell>
          <cell r="CH51">
            <v>0</v>
          </cell>
          <cell r="CI51">
            <v>0</v>
          </cell>
        </row>
        <row r="52">
          <cell r="BM52">
            <v>2.8030602822846857</v>
          </cell>
          <cell r="BN52">
            <v>1.5557836658753943</v>
          </cell>
          <cell r="BO52">
            <v>-1.7088347705233871</v>
          </cell>
          <cell r="BP52">
            <v>-2.8665081303425688</v>
          </cell>
          <cell r="BQ52">
            <v>-2.3291206246278069</v>
          </cell>
          <cell r="BR52">
            <v>-1.8596301063613416</v>
          </cell>
          <cell r="BS52">
            <v>1.8327408276671311</v>
          </cell>
          <cell r="BT52">
            <v>3.8477833514099813</v>
          </cell>
          <cell r="BU52">
            <v>1.1650415724928038</v>
          </cell>
          <cell r="BV52">
            <v>2.6270631151356696</v>
          </cell>
          <cell r="BW52">
            <v>-2.6386884833623796</v>
          </cell>
          <cell r="BX52">
            <v>-0.13554563089746927</v>
          </cell>
          <cell r="BY52">
            <v>2.7490580080791225</v>
          </cell>
          <cell r="BZ52">
            <v>-0.47669244856732168</v>
          </cell>
          <cell r="CA52">
            <v>0.57060362192759584</v>
          </cell>
          <cell r="CB52">
            <v>4.5099436060560345</v>
          </cell>
          <cell r="CC52">
            <v>-1.3828508446310122</v>
          </cell>
          <cell r="CD52">
            <v>-1.0509961532280498</v>
          </cell>
          <cell r="CE52">
            <v>0.84927151557355285</v>
          </cell>
          <cell r="CF52">
            <v>0.88309766271869772</v>
          </cell>
          <cell r="CG52">
            <v>0.9087399774445275</v>
          </cell>
          <cell r="CH52">
            <v>0</v>
          </cell>
          <cell r="CI52">
            <v>0</v>
          </cell>
        </row>
        <row r="53">
          <cell r="BM53">
            <v>1.0252855110008401</v>
          </cell>
          <cell r="BN53">
            <v>-3.6044495810459507</v>
          </cell>
          <cell r="BO53">
            <v>-1.9445485200449431</v>
          </cell>
          <cell r="BP53">
            <v>0.68778418860569557</v>
          </cell>
          <cell r="BQ53">
            <v>-1.3092482258737808</v>
          </cell>
          <cell r="BR53">
            <v>-0.9036376220872151</v>
          </cell>
          <cell r="BS53">
            <v>1.5754142252919914</v>
          </cell>
          <cell r="BT53">
            <v>-1.7270886656224727</v>
          </cell>
          <cell r="BU53">
            <v>-1.7273925263072187</v>
          </cell>
          <cell r="BV53">
            <v>3.6335867958464676</v>
          </cell>
          <cell r="BW53">
            <v>5.3589586215105033E-2</v>
          </cell>
          <cell r="BX53">
            <v>4.4956807954477869</v>
          </cell>
          <cell r="BY53">
            <v>3.9486164016585965</v>
          </cell>
          <cell r="BZ53">
            <v>0.45660464696462522</v>
          </cell>
          <cell r="CA53">
            <v>-2.1064761240168011</v>
          </cell>
          <cell r="CB53">
            <v>-1.270932512401455</v>
          </cell>
          <cell r="CC53">
            <v>0.8074204109773756</v>
          </cell>
          <cell r="CD53">
            <v>-2.0830644215258034</v>
          </cell>
          <cell r="CE53">
            <v>-0.91947041989035683</v>
          </cell>
          <cell r="CF53">
            <v>-0.52989592267972463</v>
          </cell>
          <cell r="CG53">
            <v>-0.36391877193197891</v>
          </cell>
          <cell r="CH53">
            <v>0</v>
          </cell>
          <cell r="CI53">
            <v>0</v>
          </cell>
        </row>
        <row r="54">
          <cell r="BM54">
            <v>5.3944582527846734</v>
          </cell>
          <cell r="BN54">
            <v>0.39304742772294526</v>
          </cell>
          <cell r="BO54">
            <v>-1.8473406414941145</v>
          </cell>
          <cell r="BP54">
            <v>2.7891859949771045</v>
          </cell>
          <cell r="BQ54">
            <v>3.1992871309896929</v>
          </cell>
          <cell r="BR54">
            <v>4.3785861511893565</v>
          </cell>
          <cell r="BS54">
            <v>3.41036451940011</v>
          </cell>
          <cell r="BT54">
            <v>3.210182700247719</v>
          </cell>
          <cell r="BU54">
            <v>5.8351820594104273</v>
          </cell>
          <cell r="BV54">
            <v>-5.5004919696148242</v>
          </cell>
          <cell r="BW54">
            <v>6.845043310875834</v>
          </cell>
          <cell r="BX54">
            <v>7.1346446224837923</v>
          </cell>
          <cell r="BY54">
            <v>3.4038569139185118</v>
          </cell>
          <cell r="BZ54">
            <v>0.11096671779920622</v>
          </cell>
          <cell r="CA54">
            <v>0.37708805071385448</v>
          </cell>
          <cell r="CB54">
            <v>-5.413439302075834</v>
          </cell>
          <cell r="CC54">
            <v>-1.9374195056525334</v>
          </cell>
          <cell r="CD54">
            <v>3.4778464759084908</v>
          </cell>
          <cell r="CE54">
            <v>0.72765472128876996</v>
          </cell>
          <cell r="CF54">
            <v>2.4489483459582058</v>
          </cell>
          <cell r="CG54">
            <v>2.6178089351108507</v>
          </cell>
          <cell r="CH54">
            <v>0</v>
          </cell>
          <cell r="CI54">
            <v>0</v>
          </cell>
        </row>
        <row r="55">
          <cell r="BM55">
            <v>21.02451518477859</v>
          </cell>
          <cell r="BN55">
            <v>-2.0316846051517601</v>
          </cell>
          <cell r="BO55">
            <v>-11.208492778669296</v>
          </cell>
          <cell r="BP55">
            <v>21.013485332962624</v>
          </cell>
          <cell r="BQ55">
            <v>11.976563846286401</v>
          </cell>
          <cell r="BR55">
            <v>16.2665435518621</v>
          </cell>
          <cell r="BS55">
            <v>11.758217515993827</v>
          </cell>
          <cell r="BT55">
            <v>12.269048559020927</v>
          </cell>
          <cell r="BU55">
            <v>13.692398308586288</v>
          </cell>
          <cell r="BV55">
            <v>-24.588327937161093</v>
          </cell>
          <cell r="BW55">
            <v>15.761735099625673</v>
          </cell>
          <cell r="BX55">
            <v>22.22647774507206</v>
          </cell>
          <cell r="BY55">
            <v>5.7872412214806905</v>
          </cell>
          <cell r="BZ55">
            <v>-3.8504579579126994</v>
          </cell>
          <cell r="CA55">
            <v>-3.1953800306132001</v>
          </cell>
          <cell r="CB55">
            <v>-19.259648076419797</v>
          </cell>
          <cell r="CC55">
            <v>-12.504657985373019</v>
          </cell>
          <cell r="CD55">
            <v>10.601813015153482</v>
          </cell>
          <cell r="CE55">
            <v>-0.9527872309216775</v>
          </cell>
          <cell r="CF55">
            <v>8.1824571953445204</v>
          </cell>
          <cell r="CG55">
            <v>9.0044867099204868</v>
          </cell>
          <cell r="CH55">
            <v>0</v>
          </cell>
          <cell r="CI55">
            <v>0</v>
          </cell>
        </row>
        <row r="56">
          <cell r="BM56">
            <v>4.4538402278875679</v>
          </cell>
          <cell r="BN56">
            <v>5.0443373411316843</v>
          </cell>
          <cell r="BO56">
            <v>4.1506106720658353</v>
          </cell>
          <cell r="BP56">
            <v>2.9363810240491244</v>
          </cell>
          <cell r="BQ56">
            <v>6.762210816491308</v>
          </cell>
          <cell r="BR56">
            <v>2.8716529479735566</v>
          </cell>
          <cell r="BS56">
            <v>10.06212558242734</v>
          </cell>
          <cell r="BT56">
            <v>6.8170421328495028</v>
          </cell>
          <cell r="BU56">
            <v>3.4982905463705194</v>
          </cell>
          <cell r="BV56">
            <v>4.1517658971774445</v>
          </cell>
          <cell r="BW56">
            <v>2.528349401760321</v>
          </cell>
          <cell r="BX56">
            <v>2.4975485037655107</v>
          </cell>
          <cell r="BY56">
            <v>1.5565708709352173</v>
          </cell>
          <cell r="BZ56">
            <v>3.8392776675528797</v>
          </cell>
          <cell r="CA56">
            <v>6.2679182367254445</v>
          </cell>
          <cell r="CB56">
            <v>4.0630109196640598</v>
          </cell>
          <cell r="CC56">
            <v>3.2388593471718115</v>
          </cell>
          <cell r="CD56">
            <v>2.4761715502605943</v>
          </cell>
          <cell r="CE56">
            <v>3.5133509666623</v>
          </cell>
          <cell r="CF56">
            <v>3.1531896073344412</v>
          </cell>
          <cell r="CG56">
            <v>2.8659275169588549</v>
          </cell>
          <cell r="CH56">
            <v>0</v>
          </cell>
          <cell r="CI56">
            <v>0</v>
          </cell>
        </row>
        <row r="57">
          <cell r="BM57">
            <v>-1.3845158507655875</v>
          </cell>
          <cell r="BN57">
            <v>-1.9375437368789499</v>
          </cell>
          <cell r="BO57">
            <v>0.27652647071945247</v>
          </cell>
          <cell r="BP57">
            <v>1.2854156473780181</v>
          </cell>
          <cell r="BQ57">
            <v>2.854382575092214</v>
          </cell>
          <cell r="BR57">
            <v>2.0835112287592992</v>
          </cell>
          <cell r="BS57">
            <v>2.450857381848595</v>
          </cell>
          <cell r="BT57">
            <v>1.6288373612018372</v>
          </cell>
          <cell r="BU57">
            <v>1.8325366539465748</v>
          </cell>
          <cell r="BV57">
            <v>1.0539536377159138</v>
          </cell>
          <cell r="BW57">
            <v>2.8743012834524868</v>
          </cell>
          <cell r="BX57">
            <v>0.47998937572926231</v>
          </cell>
          <cell r="BY57">
            <v>1.3324522067500448</v>
          </cell>
          <cell r="BZ57">
            <v>-1.9358577332573068</v>
          </cell>
          <cell r="CA57">
            <v>0.6904144196593478</v>
          </cell>
          <cell r="CB57">
            <v>2.2513700964398402</v>
          </cell>
          <cell r="CC57">
            <v>1.0387246224463627</v>
          </cell>
          <cell r="CD57">
            <v>5.7249903627931566E-2</v>
          </cell>
          <cell r="CE57">
            <v>0.74198893403273025</v>
          </cell>
          <cell r="CF57">
            <v>0.6708038752499822</v>
          </cell>
          <cell r="CG57">
            <v>0.70588299669475352</v>
          </cell>
          <cell r="CH57">
            <v>0</v>
          </cell>
          <cell r="CI57">
            <v>0</v>
          </cell>
        </row>
        <row r="58">
          <cell r="BM58">
            <v>2.1640865634625075</v>
          </cell>
          <cell r="BN58">
            <v>1.2333594361785705</v>
          </cell>
          <cell r="BO58">
            <v>2.1929994198413945</v>
          </cell>
          <cell r="BP58">
            <v>2.9293770342896286</v>
          </cell>
          <cell r="BQ58">
            <v>1.5737608471834204</v>
          </cell>
          <cell r="BR58">
            <v>3.7648421662322571</v>
          </cell>
          <cell r="BS58">
            <v>3.5200948925481432</v>
          </cell>
          <cell r="BT58">
            <v>2.6025005897617302</v>
          </cell>
          <cell r="BU58">
            <v>5.0067268315178346</v>
          </cell>
          <cell r="BV58">
            <v>4.0398754439771745</v>
          </cell>
          <cell r="BW58">
            <v>2.714614197735008</v>
          </cell>
          <cell r="BX58">
            <v>0.59829077341375603</v>
          </cell>
          <cell r="BY58">
            <v>0.17548101613137809</v>
          </cell>
          <cell r="BZ58">
            <v>-9.5559809112401584E-3</v>
          </cell>
          <cell r="CA58">
            <v>-0.73933759975554247</v>
          </cell>
          <cell r="CB58">
            <v>0.53182694392797758</v>
          </cell>
          <cell r="CC58">
            <v>-4.0113388731331169E-2</v>
          </cell>
          <cell r="CD58">
            <v>-1.2923289005462577</v>
          </cell>
          <cell r="CE58">
            <v>1.3028524893102555</v>
          </cell>
          <cell r="CF58">
            <v>0.45572267457951904</v>
          </cell>
          <cell r="CG58">
            <v>0.35563001026987417</v>
          </cell>
          <cell r="CH58">
            <v>0</v>
          </cell>
          <cell r="CI58">
            <v>0</v>
          </cell>
        </row>
        <row r="59">
          <cell r="BM59">
            <v>4.221061792863348</v>
          </cell>
          <cell r="BN59">
            <v>4.1840040313872349</v>
          </cell>
          <cell r="BO59">
            <v>3.0209643316150827</v>
          </cell>
          <cell r="BP59">
            <v>3.629924745462624</v>
          </cell>
          <cell r="BQ59">
            <v>1.8394107672193829</v>
          </cell>
          <cell r="BR59">
            <v>2.5510333782444041</v>
          </cell>
          <cell r="BS59">
            <v>2.5272368959234188</v>
          </cell>
          <cell r="BT59">
            <v>2.5216150870406384</v>
          </cell>
          <cell r="BU59">
            <v>4.2426657208203116</v>
          </cell>
          <cell r="BV59">
            <v>4.8396388802260022</v>
          </cell>
          <cell r="BW59">
            <v>0.99027495421456324</v>
          </cell>
          <cell r="BX59">
            <v>0.3671468475210754</v>
          </cell>
          <cell r="BY59">
            <v>1.9292066107609127</v>
          </cell>
          <cell r="BZ59">
            <v>2.8084561026198069</v>
          </cell>
          <cell r="CA59">
            <v>4.4647065420196137</v>
          </cell>
          <cell r="CB59">
            <v>0.54138077964045916</v>
          </cell>
          <cell r="CC59">
            <v>0.8615488769070675</v>
          </cell>
          <cell r="CD59">
            <v>2.5958963175839487</v>
          </cell>
          <cell r="CE59">
            <v>3.2059106842899578</v>
          </cell>
          <cell r="CF59">
            <v>3.2105328941578715</v>
          </cell>
          <cell r="CG59">
            <v>3.1921777415392936</v>
          </cell>
          <cell r="CH59">
            <v>0</v>
          </cell>
          <cell r="CI59">
            <v>0</v>
          </cell>
        </row>
        <row r="60">
          <cell r="BM60">
            <v>4.3998618102852678</v>
          </cell>
          <cell r="BN60">
            <v>5.3655423452383655</v>
          </cell>
          <cell r="BO60">
            <v>1.6510756668237117</v>
          </cell>
          <cell r="BP60">
            <v>1.9067375808266913</v>
          </cell>
          <cell r="BQ60">
            <v>1.3751434696927238</v>
          </cell>
          <cell r="BR60">
            <v>2.0806630778432749</v>
          </cell>
          <cell r="BS60">
            <v>2.9192650567111706</v>
          </cell>
          <cell r="BT60">
            <v>3.1471503222789234</v>
          </cell>
          <cell r="BU60">
            <v>3.3473490403873103</v>
          </cell>
          <cell r="BV60">
            <v>0.54988977980186238</v>
          </cell>
          <cell r="BW60">
            <v>1.8110350039722709</v>
          </cell>
          <cell r="BX60">
            <v>3.0022442768146513</v>
          </cell>
          <cell r="BY60">
            <v>2.9349606511441975</v>
          </cell>
          <cell r="BZ60">
            <v>2.1205149829632965</v>
          </cell>
          <cell r="CA60">
            <v>2.5608893985711161</v>
          </cell>
          <cell r="CB60">
            <v>2.2259314928147509</v>
          </cell>
          <cell r="CC60">
            <v>2.7613933450023298</v>
          </cell>
          <cell r="CD60">
            <v>3.3348226578977069</v>
          </cell>
          <cell r="CE60">
            <v>3.7769303372324163</v>
          </cell>
          <cell r="CF60">
            <v>3.5449774310585616</v>
          </cell>
          <cell r="CG60">
            <v>3.4825000303675662</v>
          </cell>
          <cell r="CH60">
            <v>0</v>
          </cell>
          <cell r="CI60">
            <v>0</v>
          </cell>
        </row>
        <row r="61">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row>
        <row r="62">
          <cell r="BM62">
            <v>3.6495808916252539</v>
          </cell>
          <cell r="BN62">
            <v>4.064982466184798</v>
          </cell>
          <cell r="BO62">
            <v>2.3542626596061562</v>
          </cell>
          <cell r="BP62">
            <v>2.3225083986562112</v>
          </cell>
          <cell r="BQ62">
            <v>2.60030205528926</v>
          </cell>
          <cell r="BR62">
            <v>3.7141333333333164</v>
          </cell>
          <cell r="BS62">
            <v>3.8588119137732706</v>
          </cell>
          <cell r="BT62">
            <v>3.3469460508595263</v>
          </cell>
          <cell r="BU62">
            <v>3.3955042683349825</v>
          </cell>
          <cell r="BV62">
            <v>-0.31045090816620768</v>
          </cell>
          <cell r="BW62">
            <v>1.2536282486909365</v>
          </cell>
          <cell r="BX62">
            <v>2.6494035316566706</v>
          </cell>
          <cell r="BY62">
            <v>2.2429031200942027</v>
          </cell>
          <cell r="BZ62">
            <v>1.4559120182373888</v>
          </cell>
          <cell r="CA62">
            <v>1.8345402768020418</v>
          </cell>
          <cell r="CB62">
            <v>1.4551261318165163</v>
          </cell>
          <cell r="CC62">
            <v>2.2806888701208021</v>
          </cell>
          <cell r="CD62">
            <v>3.0474558761930979</v>
          </cell>
          <cell r="CE62">
            <v>2.9337178577587326</v>
          </cell>
          <cell r="CF62">
            <v>2.8923243065793911</v>
          </cell>
          <cell r="CG62">
            <v>2.858173351919282</v>
          </cell>
          <cell r="CH62">
            <v>0</v>
          </cell>
          <cell r="CI62">
            <v>0</v>
          </cell>
        </row>
        <row r="63">
          <cell r="BM63">
            <v>3.2620022630785885</v>
          </cell>
          <cell r="BN63">
            <v>3.6334940775028106</v>
          </cell>
          <cell r="BO63">
            <v>2.7256081239111869</v>
          </cell>
          <cell r="BP63">
            <v>1.6175207681892596</v>
          </cell>
          <cell r="BQ63">
            <v>2.1096994291697171</v>
          </cell>
          <cell r="BR63">
            <v>3.0921577649561396</v>
          </cell>
          <cell r="BS63">
            <v>3.4246555941544319</v>
          </cell>
          <cell r="BT63">
            <v>2.98178580063994</v>
          </cell>
          <cell r="BU63">
            <v>2.4651517972136707</v>
          </cell>
          <cell r="BV63">
            <v>1.3057764581300257</v>
          </cell>
          <cell r="BW63">
            <v>0.51459740073413107</v>
          </cell>
          <cell r="BX63">
            <v>1.3224371907877017</v>
          </cell>
          <cell r="BY63">
            <v>2.1071576300101129</v>
          </cell>
          <cell r="BZ63">
            <v>1.6151018303595783</v>
          </cell>
          <cell r="CA63">
            <v>2.0756916720872431</v>
          </cell>
          <cell r="CB63">
            <v>2.3508497615591377</v>
          </cell>
          <cell r="CC63">
            <v>3.2168423816522287</v>
          </cell>
          <cell r="CD63">
            <v>3.0413218612227797</v>
          </cell>
          <cell r="CE63">
            <v>3.0445588055863357</v>
          </cell>
          <cell r="CF63">
            <v>2.6253279465470607</v>
          </cell>
          <cell r="CG63">
            <v>2.5675544870389713</v>
          </cell>
          <cell r="CH63">
            <v>0</v>
          </cell>
          <cell r="CI63">
            <v>0</v>
          </cell>
        </row>
        <row r="64">
          <cell r="BM64">
            <v>19.775739041794068</v>
          </cell>
          <cell r="BN64">
            <v>-0.54337152209492334</v>
          </cell>
          <cell r="BO64">
            <v>-6.3191153238546818</v>
          </cell>
          <cell r="BP64">
            <v>20.882518268690305</v>
          </cell>
          <cell r="BQ64">
            <v>15.0430132527319</v>
          </cell>
          <cell r="BR64">
            <v>15.647736459175446</v>
          </cell>
          <cell r="BS64">
            <v>12.918869325877051</v>
          </cell>
          <cell r="BT64">
            <v>8.923895380329661</v>
          </cell>
          <cell r="BU64">
            <v>14.654913050258097</v>
          </cell>
          <cell r="BV64">
            <v>-23.82896934431577</v>
          </cell>
          <cell r="BW64">
            <v>15.393650939555339</v>
          </cell>
          <cell r="BX64">
            <v>23.276037391162461</v>
          </cell>
          <cell r="BY64">
            <v>5.8198749683703976</v>
          </cell>
          <cell r="BZ64">
            <v>-3.3038049037763675</v>
          </cell>
          <cell r="CA64">
            <v>-4.0468705903391848</v>
          </cell>
          <cell r="CB64">
            <v>-15.88777507956557</v>
          </cell>
          <cell r="CC64">
            <v>-14.222223453207869</v>
          </cell>
          <cell r="CD64">
            <v>10.44949717292095</v>
          </cell>
          <cell r="CE64">
            <v>-0.73611643979737285</v>
          </cell>
          <cell r="CF64">
            <v>8.062986629012233</v>
          </cell>
          <cell r="CG64">
            <v>9.0023641033392483</v>
          </cell>
          <cell r="CH64">
            <v>0</v>
          </cell>
          <cell r="CI64">
            <v>0</v>
          </cell>
        </row>
        <row r="65">
          <cell r="BM65">
            <v>3.5648243271008822</v>
          </cell>
          <cell r="BN65">
            <v>3.9976192838012112</v>
          </cell>
          <cell r="BO65">
            <v>2.4084318962228211</v>
          </cell>
          <cell r="BP65">
            <v>2.6568248498113727</v>
          </cell>
          <cell r="BQ65">
            <v>2.8058157733572267</v>
          </cell>
          <cell r="BR65">
            <v>3.7287088518224292</v>
          </cell>
          <cell r="BS65">
            <v>3.6988982005360271</v>
          </cell>
          <cell r="BT65">
            <v>3.3169651098393942</v>
          </cell>
          <cell r="BU65">
            <v>3.7037037037036771</v>
          </cell>
          <cell r="BV65">
            <v>-0.62309900052987999</v>
          </cell>
          <cell r="BW65">
            <v>1.5816930006048817</v>
          </cell>
          <cell r="BX65">
            <v>3.0269710983579756</v>
          </cell>
          <cell r="BY65">
            <v>2.3176141992386179</v>
          </cell>
          <cell r="BZ65">
            <v>1.4408529262130436</v>
          </cell>
          <cell r="CA65">
            <v>1.7079335398095672</v>
          </cell>
          <cell r="CB65">
            <v>1.112004254540067</v>
          </cell>
          <cell r="CC65">
            <v>1.8943496129560244</v>
          </cell>
          <cell r="CD65">
            <v>3.0269398879222256</v>
          </cell>
          <cell r="CE65">
            <v>3.0227500462834285</v>
          </cell>
          <cell r="CF65">
            <v>2.9294040174637317</v>
          </cell>
          <cell r="CG65">
            <v>2.9028321841702636</v>
          </cell>
          <cell r="CH65">
            <v>0</v>
          </cell>
          <cell r="CI65">
            <v>0</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71">
          <cell r="H71">
            <v>0.01</v>
          </cell>
        </row>
      </sheetData>
      <sheetData sheetId="42"/>
      <sheetData sheetId="43">
        <row r="71">
          <cell r="H71">
            <v>0.03</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hibit 1"/>
      <sheetName val="Exhibit 2.1.1"/>
      <sheetName val="Exhibit 2.1.2"/>
      <sheetName val="Exhibit 2.2.1"/>
      <sheetName val="Exhibit 2.2.2"/>
      <sheetName val="Exhibit 2.3.1"/>
      <sheetName val="Exhibit 2.3.2"/>
      <sheetName val="Exhibit 2.4.1"/>
      <sheetName val="Exhibit 2.4.2"/>
      <sheetName val="Exhibit 2.5.1"/>
      <sheetName val="Exhibit 2.5.2"/>
      <sheetName val="Exhibit 2.6.1"/>
      <sheetName val="Exhibit 2.6.2"/>
      <sheetName val="Exhibit 3.1"/>
      <sheetName val="Exhibit 3.2"/>
      <sheetName val="Exhibit 4.1"/>
      <sheetName val="Exhibit 4.2"/>
      <sheetName val="Exhibit 4.3"/>
      <sheetName val="Exhibit 4.4"/>
      <sheetName val="Exhibit 5.1"/>
      <sheetName val="Exhibit 5.2"/>
      <sheetName val="Exhibit 6.1"/>
      <sheetName val="Exhibit 6.2"/>
      <sheetName val="Exhibit 6.3"/>
      <sheetName val="Exhibit 6.4"/>
      <sheetName val="Exhibit 7.1"/>
      <sheetName val="Exhibit 7.2"/>
      <sheetName val="Exhibit 7.3"/>
      <sheetName val="Exhibit 7.4"/>
      <sheetName val="Exhibit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8">
          <cell r="L38">
            <v>2.5000000000000001E-2</v>
          </cell>
        </row>
      </sheetData>
      <sheetData sheetId="25"/>
      <sheetData sheetId="26">
        <row r="43">
          <cell r="A43">
            <v>42826</v>
          </cell>
        </row>
      </sheetData>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3"/>
  <sheetViews>
    <sheetView tabSelected="1" zoomScaleNormal="100" workbookViewId="0"/>
  </sheetViews>
  <sheetFormatPr defaultColWidth="9.1328125" defaultRowHeight="12.75"/>
  <cols>
    <col min="1" max="1" width="8" style="110" customWidth="1"/>
    <col min="2" max="3" width="14" style="110" customWidth="1"/>
    <col min="4" max="4" width="12.73046875" style="110" bestFit="1" customWidth="1"/>
    <col min="5" max="5" width="13.86328125" style="110" customWidth="1"/>
    <col min="6" max="7" width="12.73046875" style="110" bestFit="1" customWidth="1"/>
    <col min="8" max="8" width="14.1328125" style="110" customWidth="1"/>
    <col min="9" max="9" width="6.73046875" style="110" customWidth="1"/>
    <col min="10" max="16384" width="9.1328125" style="110"/>
  </cols>
  <sheetData>
    <row r="1" spans="1:9" ht="18" customHeight="1">
      <c r="A1" s="313" t="s">
        <v>0</v>
      </c>
      <c r="B1" s="313"/>
      <c r="C1" s="313"/>
      <c r="D1" s="313"/>
      <c r="E1" s="313"/>
      <c r="F1" s="313"/>
      <c r="G1" s="313"/>
      <c r="H1" s="313"/>
      <c r="I1" s="313"/>
    </row>
    <row r="2" spans="1:9" ht="18" customHeight="1">
      <c r="A2" s="313" t="s">
        <v>506</v>
      </c>
      <c r="B2" s="313"/>
      <c r="C2" s="313"/>
      <c r="D2" s="313"/>
      <c r="E2" s="313"/>
      <c r="F2" s="313"/>
      <c r="G2" s="313"/>
      <c r="H2" s="313"/>
      <c r="I2" s="313"/>
    </row>
    <row r="3" spans="1:9" ht="18" customHeight="1">
      <c r="A3" s="1"/>
      <c r="B3" s="1"/>
      <c r="C3" s="1"/>
      <c r="D3" s="1"/>
      <c r="E3" s="1"/>
      <c r="F3" s="1"/>
      <c r="G3" s="1"/>
      <c r="H3" s="1"/>
      <c r="I3" s="2"/>
    </row>
    <row r="4" spans="1:9" ht="18" customHeight="1">
      <c r="A4" s="3"/>
      <c r="B4" s="1" t="s">
        <v>1</v>
      </c>
      <c r="C4" s="1" t="s">
        <v>2</v>
      </c>
      <c r="D4" s="1" t="s">
        <v>3</v>
      </c>
      <c r="E4" s="1" t="s">
        <v>4</v>
      </c>
      <c r="F4" s="1" t="s">
        <v>5</v>
      </c>
      <c r="G4" s="1"/>
      <c r="H4" s="1" t="s">
        <v>6</v>
      </c>
      <c r="I4" s="107" t="s">
        <v>7</v>
      </c>
    </row>
    <row r="5" spans="1:9" ht="15" customHeight="1">
      <c r="A5" s="19" t="s">
        <v>8</v>
      </c>
      <c r="B5" s="19" t="s">
        <v>9</v>
      </c>
      <c r="C5" s="19" t="s">
        <v>3</v>
      </c>
      <c r="D5" s="19" t="s">
        <v>10</v>
      </c>
      <c r="E5" s="253" t="s">
        <v>331</v>
      </c>
      <c r="F5" s="19" t="s">
        <v>10</v>
      </c>
      <c r="G5" s="19" t="s">
        <v>15</v>
      </c>
      <c r="H5" s="19" t="s">
        <v>16</v>
      </c>
      <c r="I5" s="108" t="s">
        <v>11</v>
      </c>
    </row>
    <row r="6" spans="1:9" ht="15" customHeight="1">
      <c r="A6" s="119">
        <f t="shared" ref="A6:A37" si="0">A7-1</f>
        <v>1987</v>
      </c>
      <c r="B6" s="423">
        <v>4373509816</v>
      </c>
      <c r="C6" s="423">
        <v>1506581121</v>
      </c>
      <c r="D6" s="423">
        <v>6983407</v>
      </c>
      <c r="E6" s="423">
        <v>1335377316</v>
      </c>
      <c r="F6" s="423">
        <v>44279337</v>
      </c>
      <c r="G6" s="423">
        <v>50419639</v>
      </c>
      <c r="H6" s="423">
        <v>2943640820</v>
      </c>
      <c r="I6" s="107">
        <f t="shared" ref="I6:I38" si="1">+H6/B6</f>
        <v>0.67306144123216938</v>
      </c>
    </row>
    <row r="7" spans="1:9" ht="15" customHeight="1">
      <c r="A7" s="119">
        <f t="shared" si="0"/>
        <v>1988</v>
      </c>
      <c r="B7" s="423">
        <v>5172229109</v>
      </c>
      <c r="C7" s="423">
        <v>1703875822</v>
      </c>
      <c r="D7" s="423">
        <v>6458643</v>
      </c>
      <c r="E7" s="423">
        <v>1542464647</v>
      </c>
      <c r="F7" s="423">
        <v>34417539</v>
      </c>
      <c r="G7" s="423">
        <v>37747005</v>
      </c>
      <c r="H7" s="423">
        <v>3324963656</v>
      </c>
      <c r="I7" s="107">
        <f t="shared" si="1"/>
        <v>0.64284926014092392</v>
      </c>
    </row>
    <row r="8" spans="1:9" ht="16.149999999999999" customHeight="1">
      <c r="A8" s="119">
        <f t="shared" si="0"/>
        <v>1989</v>
      </c>
      <c r="B8" s="423">
        <v>5675115503</v>
      </c>
      <c r="C8" s="423">
        <v>1940152253</v>
      </c>
      <c r="D8" s="423">
        <v>6816066</v>
      </c>
      <c r="E8" s="423">
        <v>1798960215</v>
      </c>
      <c r="F8" s="423">
        <v>51453347</v>
      </c>
      <c r="G8" s="423">
        <v>40047984</v>
      </c>
      <c r="H8" s="423">
        <v>3837429865</v>
      </c>
      <c r="I8" s="107">
        <f t="shared" si="1"/>
        <v>0.67618533278687354</v>
      </c>
    </row>
    <row r="9" spans="1:9" ht="16.149999999999999" customHeight="1">
      <c r="A9" s="119">
        <f t="shared" si="0"/>
        <v>1990</v>
      </c>
      <c r="B9" s="423">
        <v>5704524437</v>
      </c>
      <c r="C9" s="423">
        <v>2260962681</v>
      </c>
      <c r="D9" s="423">
        <v>7327076</v>
      </c>
      <c r="E9" s="423">
        <v>2045978980</v>
      </c>
      <c r="F9" s="423">
        <v>40906550</v>
      </c>
      <c r="G9" s="423">
        <v>58896651</v>
      </c>
      <c r="H9" s="423">
        <v>4414071938</v>
      </c>
      <c r="I9" s="107">
        <f t="shared" si="1"/>
        <v>0.7737843858411716</v>
      </c>
    </row>
    <row r="10" spans="1:9" ht="16.149999999999999" customHeight="1">
      <c r="A10" s="119">
        <f t="shared" si="0"/>
        <v>1991</v>
      </c>
      <c r="B10" s="424">
        <v>5866491692</v>
      </c>
      <c r="C10" s="424">
        <v>2478655908</v>
      </c>
      <c r="D10" s="423">
        <v>15729942</v>
      </c>
      <c r="E10" s="423">
        <v>2202401910</v>
      </c>
      <c r="F10" s="423">
        <v>48094600</v>
      </c>
      <c r="G10" s="423">
        <v>55794315</v>
      </c>
      <c r="H10" s="423">
        <v>4800676675</v>
      </c>
      <c r="I10" s="107">
        <f t="shared" si="1"/>
        <v>0.81832156713808568</v>
      </c>
    </row>
    <row r="11" spans="1:9" ht="16.149999999999999" customHeight="1">
      <c r="A11" s="119">
        <f t="shared" si="0"/>
        <v>1992</v>
      </c>
      <c r="B11" s="423">
        <v>5685231287</v>
      </c>
      <c r="C11" s="423">
        <v>1977895273</v>
      </c>
      <c r="D11" s="423">
        <v>13786564</v>
      </c>
      <c r="E11" s="423">
        <v>1765313045</v>
      </c>
      <c r="F11" s="423">
        <v>51723615</v>
      </c>
      <c r="G11" s="423">
        <v>55223685</v>
      </c>
      <c r="H11" s="423">
        <v>3863942182</v>
      </c>
      <c r="I11" s="107">
        <f t="shared" si="1"/>
        <v>0.67964555652034642</v>
      </c>
    </row>
    <row r="12" spans="1:9" ht="16.149999999999999" customHeight="1">
      <c r="A12" s="119">
        <f t="shared" si="0"/>
        <v>1993</v>
      </c>
      <c r="B12" s="423">
        <v>5934618230</v>
      </c>
      <c r="C12" s="423">
        <v>1694444969</v>
      </c>
      <c r="D12" s="423">
        <v>12984535</v>
      </c>
      <c r="E12" s="423">
        <v>1516338467</v>
      </c>
      <c r="F12" s="423">
        <v>62883556</v>
      </c>
      <c r="G12" s="423">
        <v>45253182</v>
      </c>
      <c r="H12" s="423">
        <v>3331904709</v>
      </c>
      <c r="I12" s="107">
        <f t="shared" si="1"/>
        <v>0.56143539143881882</v>
      </c>
    </row>
    <row r="13" spans="1:9" ht="16.149999999999999" customHeight="1">
      <c r="A13" s="119">
        <f t="shared" si="0"/>
        <v>1994</v>
      </c>
      <c r="B13" s="423">
        <v>5030976034</v>
      </c>
      <c r="C13" s="423">
        <v>1627765443</v>
      </c>
      <c r="D13" s="423">
        <v>21740481</v>
      </c>
      <c r="E13" s="423">
        <v>1468802916</v>
      </c>
      <c r="F13" s="423">
        <v>83801231</v>
      </c>
      <c r="G13" s="423">
        <v>37197744</v>
      </c>
      <c r="H13" s="423">
        <v>3239307815</v>
      </c>
      <c r="I13" s="107">
        <f t="shared" si="1"/>
        <v>0.64387263884946588</v>
      </c>
    </row>
    <row r="14" spans="1:9" ht="16.149999999999999" customHeight="1">
      <c r="A14" s="119">
        <f t="shared" si="0"/>
        <v>1995</v>
      </c>
      <c r="B14" s="423">
        <v>3789174380</v>
      </c>
      <c r="C14" s="423">
        <v>1766957340</v>
      </c>
      <c r="D14" s="423">
        <v>26055810</v>
      </c>
      <c r="E14" s="423">
        <v>1626396784</v>
      </c>
      <c r="F14" s="423">
        <v>92481760</v>
      </c>
      <c r="G14" s="423">
        <v>47132765</v>
      </c>
      <c r="H14" s="423">
        <v>3559024459</v>
      </c>
      <c r="I14" s="107">
        <f t="shared" si="1"/>
        <v>0.93926119573309264</v>
      </c>
    </row>
    <row r="15" spans="1:9" ht="16.149999999999999" customHeight="1">
      <c r="A15" s="119">
        <f t="shared" si="0"/>
        <v>1996</v>
      </c>
      <c r="B15" s="423">
        <v>3746680214</v>
      </c>
      <c r="C15" s="423">
        <v>1958037008</v>
      </c>
      <c r="D15" s="423">
        <v>31693872</v>
      </c>
      <c r="E15" s="423">
        <v>1721467863</v>
      </c>
      <c r="F15" s="423">
        <v>93514307</v>
      </c>
      <c r="G15" s="423">
        <v>54291180</v>
      </c>
      <c r="H15" s="423">
        <v>3859004230</v>
      </c>
      <c r="I15" s="107">
        <f t="shared" si="1"/>
        <v>1.0299796111715875</v>
      </c>
    </row>
    <row r="16" spans="1:9" ht="16.149999999999999" customHeight="1">
      <c r="A16" s="119">
        <f t="shared" si="0"/>
        <v>1997</v>
      </c>
      <c r="B16" s="423">
        <v>3926898608</v>
      </c>
      <c r="C16" s="423">
        <v>2320858576</v>
      </c>
      <c r="D16" s="423">
        <v>37004610</v>
      </c>
      <c r="E16" s="423">
        <v>2019379717</v>
      </c>
      <c r="F16" s="423">
        <v>121974525</v>
      </c>
      <c r="G16" s="423">
        <v>93454281</v>
      </c>
      <c r="H16" s="423">
        <v>4592671709</v>
      </c>
      <c r="I16" s="107">
        <f t="shared" si="1"/>
        <v>1.1695417089821638</v>
      </c>
    </row>
    <row r="17" spans="1:9" ht="16.149999999999999" customHeight="1">
      <c r="A17" s="119">
        <f t="shared" si="0"/>
        <v>1998</v>
      </c>
      <c r="B17" s="423">
        <v>4332127034</v>
      </c>
      <c r="C17" s="423">
        <v>2775663864</v>
      </c>
      <c r="D17" s="423">
        <v>49791377</v>
      </c>
      <c r="E17" s="423">
        <v>2646170295</v>
      </c>
      <c r="F17" s="423">
        <v>211915713</v>
      </c>
      <c r="G17" s="423">
        <v>177919727</v>
      </c>
      <c r="H17" s="423">
        <v>5861460976</v>
      </c>
      <c r="I17" s="107">
        <f t="shared" si="1"/>
        <v>1.3530214903665727</v>
      </c>
    </row>
    <row r="18" spans="1:9" ht="16.149999999999999" customHeight="1">
      <c r="A18" s="119">
        <f t="shared" si="0"/>
        <v>1999</v>
      </c>
      <c r="B18" s="423">
        <v>4550437880</v>
      </c>
      <c r="C18" s="423">
        <v>3058361600</v>
      </c>
      <c r="D18" s="423">
        <v>52765081</v>
      </c>
      <c r="E18" s="423">
        <v>3042238915</v>
      </c>
      <c r="F18" s="423">
        <v>169133198</v>
      </c>
      <c r="G18" s="423">
        <v>242865344</v>
      </c>
      <c r="H18" s="423">
        <v>6565364138</v>
      </c>
      <c r="I18" s="107">
        <f t="shared" si="1"/>
        <v>1.4427983220814784</v>
      </c>
    </row>
    <row r="19" spans="1:9" ht="16.149999999999999" customHeight="1">
      <c r="A19" s="119">
        <f t="shared" si="0"/>
        <v>2000</v>
      </c>
      <c r="B19" s="423">
        <v>5921821993</v>
      </c>
      <c r="C19" s="423">
        <v>3430015678</v>
      </c>
      <c r="D19" s="423">
        <v>67101409</v>
      </c>
      <c r="E19" s="423">
        <v>3564287444</v>
      </c>
      <c r="F19" s="423">
        <v>205305637</v>
      </c>
      <c r="G19" s="423">
        <v>392563026</v>
      </c>
      <c r="H19" s="423">
        <v>7659273194</v>
      </c>
      <c r="I19" s="107">
        <f t="shared" si="1"/>
        <v>1.2933980796879383</v>
      </c>
    </row>
    <row r="20" spans="1:9" ht="16.149999999999999" customHeight="1">
      <c r="A20" s="119">
        <f t="shared" si="0"/>
        <v>2001</v>
      </c>
      <c r="B20" s="423">
        <v>10118688616</v>
      </c>
      <c r="C20" s="423">
        <v>4845593327</v>
      </c>
      <c r="D20" s="423">
        <v>99518290</v>
      </c>
      <c r="E20" s="423">
        <v>5374235665</v>
      </c>
      <c r="F20" s="423">
        <v>346062260</v>
      </c>
      <c r="G20" s="423">
        <v>591752362</v>
      </c>
      <c r="H20" s="423">
        <v>11257161904</v>
      </c>
      <c r="I20" s="107">
        <f t="shared" si="1"/>
        <v>1.1125119401539652</v>
      </c>
    </row>
    <row r="21" spans="1:9" ht="16.149999999999999" customHeight="1">
      <c r="A21" s="119">
        <f t="shared" si="0"/>
        <v>2002</v>
      </c>
      <c r="B21" s="423">
        <v>13432760460</v>
      </c>
      <c r="C21" s="423">
        <v>4776940972</v>
      </c>
      <c r="D21" s="423">
        <v>89663689</v>
      </c>
      <c r="E21" s="423">
        <v>5493844907</v>
      </c>
      <c r="F21" s="423">
        <v>309363098</v>
      </c>
      <c r="G21" s="423">
        <v>875418894</v>
      </c>
      <c r="H21" s="423">
        <v>11545231560</v>
      </c>
      <c r="I21" s="107">
        <f t="shared" si="1"/>
        <v>0.85948317133915453</v>
      </c>
    </row>
    <row r="22" spans="1:9" ht="16.149999999999999" customHeight="1">
      <c r="A22" s="119">
        <f t="shared" si="0"/>
        <v>2003</v>
      </c>
      <c r="B22" s="423">
        <v>19472988351</v>
      </c>
      <c r="C22" s="423">
        <v>4553717488</v>
      </c>
      <c r="D22" s="423">
        <v>146596578</v>
      </c>
      <c r="E22" s="423">
        <v>5069501808</v>
      </c>
      <c r="F22" s="423">
        <v>343967143</v>
      </c>
      <c r="G22" s="423">
        <v>1228419721</v>
      </c>
      <c r="H22" s="423">
        <v>11342202738</v>
      </c>
      <c r="I22" s="107">
        <f t="shared" si="1"/>
        <v>0.58245825106846227</v>
      </c>
    </row>
    <row r="23" spans="1:9" ht="16.149999999999999" customHeight="1">
      <c r="A23" s="119">
        <f t="shared" si="0"/>
        <v>2004</v>
      </c>
      <c r="B23" s="423">
        <v>23092633294</v>
      </c>
      <c r="C23" s="423">
        <v>3216052970</v>
      </c>
      <c r="D23" s="423">
        <v>117756339</v>
      </c>
      <c r="E23" s="423">
        <v>4061258926</v>
      </c>
      <c r="F23" s="423">
        <v>275721117</v>
      </c>
      <c r="G23" s="423">
        <v>1365058077</v>
      </c>
      <c r="H23" s="423">
        <v>9035847429</v>
      </c>
      <c r="I23" s="107">
        <f t="shared" si="1"/>
        <v>0.39128700975595199</v>
      </c>
    </row>
    <row r="24" spans="1:9" ht="16.149999999999999" customHeight="1">
      <c r="A24" s="119">
        <f t="shared" si="0"/>
        <v>2005</v>
      </c>
      <c r="B24" s="423">
        <v>21394600575</v>
      </c>
      <c r="C24" s="423">
        <v>2533693094</v>
      </c>
      <c r="D24" s="423">
        <v>102222811</v>
      </c>
      <c r="E24" s="423">
        <v>3656663395</v>
      </c>
      <c r="F24" s="423">
        <v>263688739</v>
      </c>
      <c r="G24" s="423">
        <v>1096615955</v>
      </c>
      <c r="H24" s="423">
        <v>7652883994</v>
      </c>
      <c r="I24" s="107">
        <f t="shared" si="1"/>
        <v>0.35770165314245417</v>
      </c>
    </row>
    <row r="25" spans="1:9" ht="16.149999999999999" customHeight="1">
      <c r="A25" s="119">
        <f t="shared" si="0"/>
        <v>2006</v>
      </c>
      <c r="B25" s="423">
        <v>17233032862</v>
      </c>
      <c r="C25" s="423">
        <v>2619140337</v>
      </c>
      <c r="D25" s="423">
        <v>113117905</v>
      </c>
      <c r="E25" s="423">
        <v>3761224476</v>
      </c>
      <c r="F25" s="423">
        <v>288687471</v>
      </c>
      <c r="G25" s="423">
        <v>762677443</v>
      </c>
      <c r="H25" s="423">
        <v>7544847632</v>
      </c>
      <c r="I25" s="107">
        <f t="shared" si="1"/>
        <v>0.43781310535517504</v>
      </c>
    </row>
    <row r="26" spans="1:9" ht="16.149999999999999" customHeight="1">
      <c r="A26" s="119">
        <f t="shared" si="0"/>
        <v>2007</v>
      </c>
      <c r="B26" s="423">
        <v>13276770615</v>
      </c>
      <c r="C26" s="423">
        <v>2763508131</v>
      </c>
      <c r="D26" s="423">
        <v>131925738</v>
      </c>
      <c r="E26" s="423">
        <v>4037349709</v>
      </c>
      <c r="F26" s="423">
        <v>328613704</v>
      </c>
      <c r="G26" s="423">
        <v>699243500</v>
      </c>
      <c r="H26" s="423">
        <v>7960640782</v>
      </c>
      <c r="I26" s="107">
        <f t="shared" si="1"/>
        <v>0.59959164866538595</v>
      </c>
    </row>
    <row r="27" spans="1:9" ht="16.149999999999999" customHeight="1">
      <c r="A27" s="119">
        <f t="shared" si="0"/>
        <v>2008</v>
      </c>
      <c r="B27" s="423">
        <v>10765114133</v>
      </c>
      <c r="C27" s="423">
        <v>2808088687</v>
      </c>
      <c r="D27" s="423">
        <v>144752708</v>
      </c>
      <c r="E27" s="423">
        <v>4025654697</v>
      </c>
      <c r="F27" s="423">
        <v>344725246</v>
      </c>
      <c r="G27" s="423">
        <v>609883694</v>
      </c>
      <c r="H27" s="423">
        <v>7933105032</v>
      </c>
      <c r="I27" s="107">
        <f t="shared" si="1"/>
        <v>0.73692716435596384</v>
      </c>
    </row>
    <row r="28" spans="1:9" ht="16.149999999999999" customHeight="1">
      <c r="A28" s="119">
        <f t="shared" si="0"/>
        <v>2009</v>
      </c>
      <c r="B28" s="423">
        <v>8901420752</v>
      </c>
      <c r="C28" s="423">
        <v>2681931234</v>
      </c>
      <c r="D28" s="423">
        <v>143113817</v>
      </c>
      <c r="E28" s="423">
        <v>3831372382</v>
      </c>
      <c r="F28" s="423">
        <v>347688212</v>
      </c>
      <c r="G28" s="423">
        <v>477594946</v>
      </c>
      <c r="H28" s="423">
        <v>7481700591</v>
      </c>
      <c r="I28" s="107">
        <f t="shared" si="1"/>
        <v>0.8405063415656413</v>
      </c>
    </row>
    <row r="29" spans="1:9" ht="16.149999999999999" customHeight="1">
      <c r="A29" s="180">
        <f t="shared" si="0"/>
        <v>2010</v>
      </c>
      <c r="B29" s="425">
        <v>9408127723</v>
      </c>
      <c r="C29" s="425">
        <v>2699250967</v>
      </c>
      <c r="D29" s="425">
        <v>139770807</v>
      </c>
      <c r="E29" s="426">
        <v>3934900892</v>
      </c>
      <c r="F29" s="425">
        <v>299469667</v>
      </c>
      <c r="G29" s="425">
        <v>556878681</v>
      </c>
      <c r="H29" s="427">
        <v>7630271014</v>
      </c>
      <c r="I29" s="109">
        <f t="shared" si="1"/>
        <v>0.81102970098357796</v>
      </c>
    </row>
    <row r="30" spans="1:9" ht="16.149999999999999" customHeight="1">
      <c r="A30" s="259">
        <f t="shared" si="0"/>
        <v>2011</v>
      </c>
      <c r="B30" s="428">
        <v>10141174044</v>
      </c>
      <c r="C30" s="428">
        <v>2665257538</v>
      </c>
      <c r="D30" s="428">
        <v>150568884</v>
      </c>
      <c r="E30" s="424">
        <v>3553502084.8571429</v>
      </c>
      <c r="F30" s="428">
        <v>338343769</v>
      </c>
      <c r="G30" s="428">
        <v>749445690</v>
      </c>
      <c r="H30" s="429">
        <v>7457117965.8571434</v>
      </c>
      <c r="I30" s="179">
        <f t="shared" si="1"/>
        <v>0.7353308338366531</v>
      </c>
    </row>
    <row r="31" spans="1:9" ht="16.149999999999999" customHeight="1">
      <c r="A31" s="259">
        <f t="shared" si="0"/>
        <v>2012</v>
      </c>
      <c r="B31" s="428">
        <v>11718095745</v>
      </c>
      <c r="C31" s="428">
        <v>2697041252</v>
      </c>
      <c r="D31" s="428">
        <v>187941514</v>
      </c>
      <c r="E31" s="428">
        <v>3440952399</v>
      </c>
      <c r="F31" s="428">
        <v>377937600</v>
      </c>
      <c r="G31" s="428">
        <v>917950602</v>
      </c>
      <c r="H31" s="429">
        <v>7621823367</v>
      </c>
      <c r="I31" s="179">
        <f t="shared" si="1"/>
        <v>0.65043190744128876</v>
      </c>
    </row>
    <row r="32" spans="1:9" ht="16.149999999999999" customHeight="1">
      <c r="A32" s="259">
        <f t="shared" si="0"/>
        <v>2013</v>
      </c>
      <c r="B32" s="428">
        <v>14186071217</v>
      </c>
      <c r="C32" s="428">
        <v>2720799353</v>
      </c>
      <c r="D32" s="428">
        <v>205970987</v>
      </c>
      <c r="E32" s="428">
        <v>3268505783</v>
      </c>
      <c r="F32" s="428">
        <v>395440928</v>
      </c>
      <c r="G32" s="428">
        <v>1527473427</v>
      </c>
      <c r="H32" s="429">
        <v>8118190478</v>
      </c>
      <c r="I32" s="179">
        <f t="shared" si="1"/>
        <v>0.57226488953978305</v>
      </c>
    </row>
    <row r="33" spans="1:9" ht="16.149999999999999" customHeight="1">
      <c r="A33" s="259">
        <f t="shared" si="0"/>
        <v>2014</v>
      </c>
      <c r="B33" s="428">
        <v>16014478353</v>
      </c>
      <c r="C33" s="428">
        <v>2825585745</v>
      </c>
      <c r="D33" s="428">
        <v>264832254</v>
      </c>
      <c r="E33" s="428">
        <v>3160322602</v>
      </c>
      <c r="F33" s="428">
        <v>453431952</v>
      </c>
      <c r="G33" s="428">
        <v>2047723993</v>
      </c>
      <c r="H33" s="429">
        <v>8751896546</v>
      </c>
      <c r="I33" s="179">
        <f t="shared" si="1"/>
        <v>0.54649900877729829</v>
      </c>
    </row>
    <row r="34" spans="1:9" ht="16.149999999999999" customHeight="1">
      <c r="A34" s="119">
        <f t="shared" si="0"/>
        <v>2015</v>
      </c>
      <c r="B34" s="423">
        <v>17059790388</v>
      </c>
      <c r="C34" s="423">
        <v>2787269724</v>
      </c>
      <c r="D34" s="423">
        <v>353242253</v>
      </c>
      <c r="E34" s="423">
        <v>3000974440</v>
      </c>
      <c r="F34" s="423">
        <v>595588668</v>
      </c>
      <c r="G34" s="423">
        <v>3004840479</v>
      </c>
      <c r="H34" s="429">
        <v>9741915564</v>
      </c>
      <c r="I34" s="179">
        <f t="shared" si="1"/>
        <v>0.57104544325776385</v>
      </c>
    </row>
    <row r="35" spans="1:9" ht="16.149999999999999" customHeight="1">
      <c r="A35" s="119">
        <f t="shared" si="0"/>
        <v>2016</v>
      </c>
      <c r="B35" s="423">
        <v>17954507147</v>
      </c>
      <c r="C35" s="423">
        <v>2551609312</v>
      </c>
      <c r="D35" s="423">
        <v>471184966</v>
      </c>
      <c r="E35" s="423">
        <v>2743753818</v>
      </c>
      <c r="F35" s="423">
        <v>720445341</v>
      </c>
      <c r="G35" s="423">
        <v>3124684686</v>
      </c>
      <c r="H35" s="429">
        <v>9611678123</v>
      </c>
      <c r="I35" s="179">
        <f t="shared" si="1"/>
        <v>0.5353351135904616</v>
      </c>
    </row>
    <row r="36" spans="1:9" ht="16.149999999999999" customHeight="1">
      <c r="A36" s="119">
        <f t="shared" si="0"/>
        <v>2017</v>
      </c>
      <c r="B36" s="423">
        <v>17671411530</v>
      </c>
      <c r="C36" s="423">
        <v>2180411558</v>
      </c>
      <c r="D36" s="423">
        <v>687355209</v>
      </c>
      <c r="E36" s="423">
        <v>2401171139</v>
      </c>
      <c r="F36" s="423">
        <v>1002033179</v>
      </c>
      <c r="G36" s="423">
        <v>3385228596</v>
      </c>
      <c r="H36" s="430">
        <v>9656199681</v>
      </c>
      <c r="I36" s="8">
        <f t="shared" si="1"/>
        <v>0.54643058165484304</v>
      </c>
    </row>
    <row r="37" spans="1:9" ht="16.149999999999999" customHeight="1">
      <c r="A37" s="119">
        <f t="shared" si="0"/>
        <v>2018</v>
      </c>
      <c r="B37" s="423">
        <v>17426346235</v>
      </c>
      <c r="C37" s="423">
        <v>1600841246</v>
      </c>
      <c r="D37" s="423">
        <v>976708976</v>
      </c>
      <c r="E37" s="423">
        <v>1931210839</v>
      </c>
      <c r="F37" s="423">
        <v>1343255345</v>
      </c>
      <c r="G37" s="423">
        <v>4105988237</v>
      </c>
      <c r="H37" s="430">
        <v>9958004643</v>
      </c>
      <c r="I37" s="8">
        <f t="shared" si="1"/>
        <v>0.57143387998339057</v>
      </c>
    </row>
    <row r="38" spans="1:9" ht="16.149999999999999" customHeight="1">
      <c r="A38" s="119">
        <v>2019</v>
      </c>
      <c r="B38" s="423">
        <v>16100338377</v>
      </c>
      <c r="C38" s="423">
        <v>722775823</v>
      </c>
      <c r="D38" s="423">
        <v>1021097928</v>
      </c>
      <c r="E38" s="423">
        <v>1045964570</v>
      </c>
      <c r="F38" s="423">
        <v>1579983484</v>
      </c>
      <c r="G38" s="423">
        <v>5025220327</v>
      </c>
      <c r="H38" s="430">
        <v>9395042132</v>
      </c>
      <c r="I38" s="8">
        <f t="shared" si="1"/>
        <v>0.58353072538035644</v>
      </c>
    </row>
    <row r="39" spans="1:9" ht="18" customHeight="1">
      <c r="A39" s="6"/>
      <c r="B39" s="5"/>
      <c r="C39" s="5"/>
      <c r="D39" s="5"/>
      <c r="E39" s="5"/>
      <c r="F39" s="5"/>
      <c r="G39" s="7"/>
      <c r="H39" s="7"/>
      <c r="I39" s="8"/>
    </row>
    <row r="40" spans="1:9" ht="16.149999999999999" customHeight="1">
      <c r="A40" s="9" t="s">
        <v>12</v>
      </c>
      <c r="B40" s="169" t="s">
        <v>302</v>
      </c>
      <c r="C40" s="5"/>
      <c r="D40" s="5"/>
      <c r="E40" s="5"/>
      <c r="F40" s="5"/>
      <c r="G40" s="7"/>
      <c r="H40" s="7"/>
      <c r="I40" s="8"/>
    </row>
    <row r="41" spans="1:9" ht="27" customHeight="1">
      <c r="A41" s="9" t="s">
        <v>13</v>
      </c>
      <c r="B41" s="528" t="s">
        <v>14</v>
      </c>
      <c r="C41" s="528"/>
      <c r="D41" s="528"/>
      <c r="E41" s="528"/>
      <c r="F41" s="528"/>
      <c r="G41" s="528"/>
      <c r="H41" s="528"/>
      <c r="I41" s="528"/>
    </row>
    <row r="42" spans="1:9" ht="18" customHeight="1">
      <c r="A42" s="24"/>
      <c r="B42" s="112"/>
      <c r="C42" s="112"/>
      <c r="D42" s="112"/>
      <c r="E42" s="112"/>
      <c r="F42" s="112"/>
      <c r="G42" s="112"/>
      <c r="H42" s="112"/>
      <c r="I42" s="112"/>
    </row>
    <row r="43" spans="1:9" ht="18" customHeight="1">
      <c r="A43" s="181" t="s">
        <v>307</v>
      </c>
      <c r="B43" s="112" t="s">
        <v>308</v>
      </c>
      <c r="C43" s="112"/>
      <c r="D43" s="112"/>
      <c r="E43" s="112"/>
      <c r="F43" s="112"/>
      <c r="G43" s="112"/>
      <c r="H43" s="112"/>
      <c r="I43" s="112"/>
    </row>
  </sheetData>
  <mergeCells count="1">
    <mergeCell ref="B41:I41"/>
  </mergeCells>
  <pageMargins left="0.5" right="0.5" top="0.75" bottom="0.75" header="0.33" footer="0.33"/>
  <pageSetup scale="87" orientation="portrait" blackAndWhite="1" r:id="rId1"/>
  <headerFooter scaleWithDoc="0">
    <oddHeader>&amp;R&amp;"Arial,Regular"&amp;10Exhibit 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1"/>
  <sheetViews>
    <sheetView zoomScaleNormal="100" workbookViewId="0"/>
  </sheetViews>
  <sheetFormatPr defaultColWidth="9.1328125" defaultRowHeight="12.75"/>
  <cols>
    <col min="1" max="1" width="18.86328125" style="178" customWidth="1"/>
    <col min="2" max="20" width="7.73046875" style="178" customWidth="1"/>
    <col min="21" max="21" width="7.73046875" style="319" customWidth="1"/>
    <col min="22" max="22" width="7.73046875" style="265" customWidth="1"/>
    <col min="23" max="16384" width="9.1328125" style="178"/>
  </cols>
  <sheetData>
    <row r="1" spans="1:22" ht="14.45" customHeight="1">
      <c r="A1" s="277" t="str">
        <f>"Selected Indemnity Development Factors - Paid to Ultimate"</f>
        <v>Selected Indemnity Development Factors - Paid to Ultimate</v>
      </c>
      <c r="B1" s="277"/>
      <c r="C1" s="277"/>
      <c r="D1" s="277"/>
      <c r="E1" s="277"/>
      <c r="F1" s="277"/>
      <c r="G1" s="277"/>
      <c r="H1" s="277"/>
      <c r="I1" s="277"/>
      <c r="J1" s="277"/>
      <c r="K1" s="277"/>
      <c r="L1" s="277"/>
      <c r="M1" s="277"/>
      <c r="N1" s="277"/>
      <c r="O1" s="277"/>
      <c r="P1" s="277"/>
      <c r="Q1" s="277"/>
      <c r="R1" s="277"/>
      <c r="S1" s="277"/>
      <c r="T1" s="277"/>
      <c r="U1" s="277"/>
      <c r="V1" s="277"/>
    </row>
    <row r="2" spans="1:22" ht="13.15">
      <c r="A2" s="247"/>
      <c r="B2" s="247"/>
      <c r="C2" s="247"/>
      <c r="D2" s="247"/>
      <c r="E2" s="247"/>
      <c r="F2" s="247"/>
      <c r="G2" s="247"/>
      <c r="H2" s="247"/>
      <c r="I2" s="247"/>
      <c r="J2" s="247"/>
      <c r="K2" s="247"/>
      <c r="L2" s="247"/>
      <c r="M2" s="247"/>
      <c r="N2" s="247"/>
      <c r="O2" s="247"/>
      <c r="P2" s="247"/>
      <c r="Q2" s="247"/>
      <c r="R2" s="247"/>
      <c r="S2" s="247"/>
      <c r="T2" s="44"/>
      <c r="U2" s="44"/>
      <c r="V2" s="44"/>
    </row>
    <row r="3" spans="1:22" ht="14.45" customHeight="1">
      <c r="A3" s="247"/>
      <c r="B3" s="280" t="s">
        <v>18</v>
      </c>
      <c r="C3" s="280"/>
      <c r="D3" s="280"/>
      <c r="E3" s="280"/>
      <c r="F3" s="280"/>
      <c r="G3" s="280"/>
      <c r="H3" s="280"/>
      <c r="I3" s="280"/>
      <c r="J3" s="280"/>
      <c r="K3" s="280"/>
      <c r="L3" s="280"/>
      <c r="M3" s="280"/>
      <c r="N3" s="280"/>
      <c r="O3" s="280"/>
      <c r="P3" s="280"/>
      <c r="Q3" s="280"/>
      <c r="R3" s="280"/>
      <c r="S3" s="280"/>
      <c r="T3" s="280"/>
      <c r="U3" s="280"/>
      <c r="V3" s="280"/>
    </row>
    <row r="4" spans="1:22">
      <c r="A4" s="19" t="s">
        <v>19</v>
      </c>
      <c r="B4" s="416" t="s">
        <v>470</v>
      </c>
      <c r="C4" s="416" t="s">
        <v>471</v>
      </c>
      <c r="D4" s="416" t="s">
        <v>472</v>
      </c>
      <c r="E4" s="416" t="s">
        <v>473</v>
      </c>
      <c r="F4" s="416" t="s">
        <v>474</v>
      </c>
      <c r="G4" s="416" t="s">
        <v>475</v>
      </c>
      <c r="H4" s="416" t="s">
        <v>476</v>
      </c>
      <c r="I4" s="416" t="s">
        <v>477</v>
      </c>
      <c r="J4" s="416" t="s">
        <v>478</v>
      </c>
      <c r="K4" s="416" t="s">
        <v>479</v>
      </c>
      <c r="L4" s="416" t="s">
        <v>480</v>
      </c>
      <c r="M4" s="416" t="s">
        <v>481</v>
      </c>
      <c r="N4" s="416" t="s">
        <v>482</v>
      </c>
      <c r="O4" s="416" t="s">
        <v>483</v>
      </c>
      <c r="P4" s="416" t="s">
        <v>484</v>
      </c>
      <c r="Q4" s="416" t="s">
        <v>485</v>
      </c>
      <c r="R4" s="416" t="s">
        <v>486</v>
      </c>
      <c r="S4" s="416" t="s">
        <v>487</v>
      </c>
      <c r="T4" s="416" t="s">
        <v>488</v>
      </c>
      <c r="U4" s="416" t="s">
        <v>489</v>
      </c>
      <c r="V4" s="416" t="s">
        <v>490</v>
      </c>
    </row>
    <row r="5" spans="1:22" s="223" customFormat="1">
      <c r="A5" s="1">
        <f t="shared" ref="A5:A29" si="0">+A6-1</f>
        <v>1993</v>
      </c>
      <c r="B5" s="21" t="s">
        <v>34</v>
      </c>
      <c r="C5" s="21" t="s">
        <v>34</v>
      </c>
      <c r="D5" s="21" t="s">
        <v>34</v>
      </c>
      <c r="E5" s="21" t="s">
        <v>34</v>
      </c>
      <c r="F5" s="21" t="s">
        <v>34</v>
      </c>
      <c r="G5" s="21" t="s">
        <v>34</v>
      </c>
      <c r="H5" s="21" t="s">
        <v>34</v>
      </c>
      <c r="I5" s="21" t="s">
        <v>34</v>
      </c>
      <c r="J5" s="21" t="s">
        <v>34</v>
      </c>
      <c r="K5" s="21" t="s">
        <v>34</v>
      </c>
      <c r="L5" s="21" t="s">
        <v>34</v>
      </c>
      <c r="M5" s="21">
        <v>1.0049999999999999</v>
      </c>
      <c r="N5" s="21">
        <v>1.004</v>
      </c>
      <c r="O5" s="21">
        <v>1.004</v>
      </c>
      <c r="P5" s="21">
        <v>1.004</v>
      </c>
      <c r="Q5" s="21">
        <v>1.002</v>
      </c>
      <c r="R5" s="21">
        <v>1.002</v>
      </c>
      <c r="S5" s="21">
        <v>1.0029999999999999</v>
      </c>
      <c r="T5" s="21">
        <v>1.002</v>
      </c>
      <c r="U5" s="21">
        <v>1.002</v>
      </c>
      <c r="V5" s="21">
        <v>1.002</v>
      </c>
    </row>
    <row r="6" spans="1:22" s="223" customFormat="1">
      <c r="A6" s="1">
        <f t="shared" si="0"/>
        <v>1994</v>
      </c>
      <c r="B6" s="21" t="s">
        <v>34</v>
      </c>
      <c r="C6" s="21" t="s">
        <v>34</v>
      </c>
      <c r="D6" s="21" t="s">
        <v>34</v>
      </c>
      <c r="E6" s="21" t="s">
        <v>34</v>
      </c>
      <c r="F6" s="21" t="s">
        <v>34</v>
      </c>
      <c r="G6" s="21" t="s">
        <v>34</v>
      </c>
      <c r="H6" s="21" t="s">
        <v>34</v>
      </c>
      <c r="I6" s="21" t="s">
        <v>34</v>
      </c>
      <c r="J6" s="21" t="s">
        <v>34</v>
      </c>
      <c r="K6" s="21" t="s">
        <v>34</v>
      </c>
      <c r="L6" s="21">
        <v>1.0089999999999999</v>
      </c>
      <c r="M6" s="21">
        <v>1.008</v>
      </c>
      <c r="N6" s="21">
        <v>1.006</v>
      </c>
      <c r="O6" s="21">
        <v>1.0049999999999999</v>
      </c>
      <c r="P6" s="21">
        <v>1.0029999999999999</v>
      </c>
      <c r="Q6" s="21">
        <v>1.0029999999999999</v>
      </c>
      <c r="R6" s="21">
        <v>1.004</v>
      </c>
      <c r="S6" s="21">
        <v>1.002</v>
      </c>
      <c r="T6" s="21">
        <v>1.0029999999999999</v>
      </c>
      <c r="U6" s="21">
        <v>1.0029999999999999</v>
      </c>
      <c r="V6" s="21">
        <v>1.002</v>
      </c>
    </row>
    <row r="7" spans="1:22">
      <c r="A7" s="1">
        <f t="shared" si="0"/>
        <v>1995</v>
      </c>
      <c r="B7" s="21" t="s">
        <v>34</v>
      </c>
      <c r="C7" s="21" t="s">
        <v>34</v>
      </c>
      <c r="D7" s="21" t="s">
        <v>34</v>
      </c>
      <c r="E7" s="21" t="s">
        <v>34</v>
      </c>
      <c r="F7" s="21" t="s">
        <v>34</v>
      </c>
      <c r="G7" s="21" t="s">
        <v>34</v>
      </c>
      <c r="H7" s="21" t="s">
        <v>34</v>
      </c>
      <c r="I7" s="21" t="s">
        <v>34</v>
      </c>
      <c r="J7" s="21" t="s">
        <v>34</v>
      </c>
      <c r="K7" s="21">
        <v>1.0129999999999999</v>
      </c>
      <c r="L7" s="21">
        <v>1.01</v>
      </c>
      <c r="M7" s="21">
        <v>1.008</v>
      </c>
      <c r="N7" s="21">
        <v>1.0069999999999999</v>
      </c>
      <c r="O7" s="21">
        <v>1.006</v>
      </c>
      <c r="P7" s="21">
        <v>1.004</v>
      </c>
      <c r="Q7" s="21">
        <v>1.004</v>
      </c>
      <c r="R7" s="21">
        <v>1.0049999999999999</v>
      </c>
      <c r="S7" s="21">
        <v>1.004</v>
      </c>
      <c r="T7" s="21">
        <v>1.0029999999999999</v>
      </c>
      <c r="U7" s="21">
        <v>1.002</v>
      </c>
      <c r="V7" s="21">
        <v>1.0029999999999999</v>
      </c>
    </row>
    <row r="8" spans="1:22">
      <c r="A8" s="1">
        <f t="shared" si="0"/>
        <v>1996</v>
      </c>
      <c r="B8" s="21" t="s">
        <v>34</v>
      </c>
      <c r="C8" s="21" t="s">
        <v>34</v>
      </c>
      <c r="D8" s="21" t="s">
        <v>34</v>
      </c>
      <c r="E8" s="21" t="s">
        <v>34</v>
      </c>
      <c r="F8" s="21" t="s">
        <v>34</v>
      </c>
      <c r="G8" s="21" t="s">
        <v>34</v>
      </c>
      <c r="H8" s="21" t="s">
        <v>34</v>
      </c>
      <c r="I8" s="21" t="s">
        <v>34</v>
      </c>
      <c r="J8" s="21">
        <v>1.018</v>
      </c>
      <c r="K8" s="21">
        <v>1.0129999999999999</v>
      </c>
      <c r="L8" s="21">
        <v>1.0109999999999999</v>
      </c>
      <c r="M8" s="21">
        <v>1.0089999999999999</v>
      </c>
      <c r="N8" s="21">
        <v>1.0069999999999999</v>
      </c>
      <c r="O8" s="21">
        <v>1.004</v>
      </c>
      <c r="P8" s="21">
        <v>1.0049999999999999</v>
      </c>
      <c r="Q8" s="21">
        <v>1.004</v>
      </c>
      <c r="R8" s="21">
        <v>1.0049999999999999</v>
      </c>
      <c r="S8" s="21">
        <v>1.004</v>
      </c>
      <c r="T8" s="21">
        <v>1.0029999999999999</v>
      </c>
      <c r="U8" s="21">
        <v>1.0029999999999999</v>
      </c>
      <c r="V8" s="21">
        <v>1.002</v>
      </c>
    </row>
    <row r="9" spans="1:22">
      <c r="A9" s="1">
        <f t="shared" si="0"/>
        <v>1997</v>
      </c>
      <c r="B9" s="21" t="s">
        <v>34</v>
      </c>
      <c r="C9" s="21" t="s">
        <v>34</v>
      </c>
      <c r="D9" s="21" t="s">
        <v>34</v>
      </c>
      <c r="E9" s="21" t="s">
        <v>34</v>
      </c>
      <c r="F9" s="21" t="s">
        <v>34</v>
      </c>
      <c r="G9" s="21" t="s">
        <v>34</v>
      </c>
      <c r="H9" s="21" t="s">
        <v>34</v>
      </c>
      <c r="I9" s="21">
        <v>1.0249999999999999</v>
      </c>
      <c r="J9" s="21">
        <v>1.0169999999999999</v>
      </c>
      <c r="K9" s="21">
        <v>1.0149999999999999</v>
      </c>
      <c r="L9" s="21">
        <v>1.0109999999999999</v>
      </c>
      <c r="M9" s="21">
        <v>1.0069999999999999</v>
      </c>
      <c r="N9" s="21">
        <v>1.0069999999999999</v>
      </c>
      <c r="O9" s="21">
        <v>1.006</v>
      </c>
      <c r="P9" s="21">
        <v>1.0049999999999999</v>
      </c>
      <c r="Q9" s="21">
        <v>1.0049999999999999</v>
      </c>
      <c r="R9" s="21">
        <v>1.004</v>
      </c>
      <c r="S9" s="21">
        <v>1.0029999999999999</v>
      </c>
      <c r="T9" s="21">
        <v>1.002</v>
      </c>
      <c r="U9" s="21">
        <v>1.002</v>
      </c>
      <c r="V9" s="21">
        <v>1.0029999999999999</v>
      </c>
    </row>
    <row r="10" spans="1:22">
      <c r="A10" s="1">
        <f t="shared" si="0"/>
        <v>1998</v>
      </c>
      <c r="B10" s="21" t="s">
        <v>34</v>
      </c>
      <c r="C10" s="21" t="s">
        <v>34</v>
      </c>
      <c r="D10" s="21" t="s">
        <v>34</v>
      </c>
      <c r="E10" s="21" t="s">
        <v>34</v>
      </c>
      <c r="F10" s="21" t="s">
        <v>34</v>
      </c>
      <c r="G10" s="21" t="s">
        <v>34</v>
      </c>
      <c r="H10" s="21">
        <v>1.0329999999999999</v>
      </c>
      <c r="I10" s="21">
        <v>1.0249999999999999</v>
      </c>
      <c r="J10" s="21">
        <v>1.018</v>
      </c>
      <c r="K10" s="21">
        <v>1.016</v>
      </c>
      <c r="L10" s="21">
        <v>1.0089999999999999</v>
      </c>
      <c r="M10" s="21">
        <v>1.0089999999999999</v>
      </c>
      <c r="N10" s="21">
        <v>1.008</v>
      </c>
      <c r="O10" s="21">
        <v>1.0069999999999999</v>
      </c>
      <c r="P10" s="21">
        <v>1.006</v>
      </c>
      <c r="Q10" s="21">
        <v>1.006</v>
      </c>
      <c r="R10" s="21">
        <v>1.0049999999999999</v>
      </c>
      <c r="S10" s="21">
        <v>1.004</v>
      </c>
      <c r="T10" s="21">
        <v>1.0029999999999999</v>
      </c>
      <c r="U10" s="21">
        <v>1.0029999999999999</v>
      </c>
      <c r="V10" s="21">
        <v>1.0029999999999999</v>
      </c>
    </row>
    <row r="11" spans="1:22">
      <c r="A11" s="1">
        <f t="shared" si="0"/>
        <v>1999</v>
      </c>
      <c r="B11" s="21" t="s">
        <v>34</v>
      </c>
      <c r="C11" s="21" t="s">
        <v>34</v>
      </c>
      <c r="D11" s="21" t="s">
        <v>34</v>
      </c>
      <c r="E11" s="21" t="s">
        <v>34</v>
      </c>
      <c r="F11" s="21" t="s">
        <v>34</v>
      </c>
      <c r="G11" s="21">
        <v>1.0489999999999999</v>
      </c>
      <c r="H11" s="21">
        <v>1.0329999999999999</v>
      </c>
      <c r="I11" s="21">
        <v>1.0209999999999999</v>
      </c>
      <c r="J11" s="21">
        <v>1.018</v>
      </c>
      <c r="K11" s="21">
        <v>1.014</v>
      </c>
      <c r="L11" s="21">
        <v>1.01</v>
      </c>
      <c r="M11" s="21">
        <v>1.0089999999999999</v>
      </c>
      <c r="N11" s="21">
        <v>1.008</v>
      </c>
      <c r="O11" s="21">
        <v>1.006</v>
      </c>
      <c r="P11" s="21">
        <v>1.006</v>
      </c>
      <c r="Q11" s="21">
        <v>1.0049999999999999</v>
      </c>
      <c r="R11" s="21">
        <v>1.004</v>
      </c>
      <c r="S11" s="21">
        <v>1.0029999999999999</v>
      </c>
      <c r="T11" s="21">
        <v>1.0029999999999999</v>
      </c>
      <c r="U11" s="21">
        <v>1.0029999999999999</v>
      </c>
      <c r="V11" s="21" t="s">
        <v>34</v>
      </c>
    </row>
    <row r="12" spans="1:22">
      <c r="A12" s="1">
        <f t="shared" si="0"/>
        <v>2000</v>
      </c>
      <c r="B12" s="21" t="s">
        <v>34</v>
      </c>
      <c r="C12" s="21" t="s">
        <v>34</v>
      </c>
      <c r="D12" s="21" t="s">
        <v>34</v>
      </c>
      <c r="E12" s="21" t="s">
        <v>34</v>
      </c>
      <c r="F12" s="21">
        <v>1.0780000000000001</v>
      </c>
      <c r="G12" s="21">
        <v>1.046</v>
      </c>
      <c r="H12" s="21">
        <v>1.03</v>
      </c>
      <c r="I12" s="21">
        <v>1.022</v>
      </c>
      <c r="J12" s="21">
        <v>1.0149999999999999</v>
      </c>
      <c r="K12" s="21">
        <v>1.012</v>
      </c>
      <c r="L12" s="21">
        <v>1.01</v>
      </c>
      <c r="M12" s="21">
        <v>1.0089999999999999</v>
      </c>
      <c r="N12" s="21">
        <v>1.0069999999999999</v>
      </c>
      <c r="O12" s="21">
        <v>1.0069999999999999</v>
      </c>
      <c r="P12" s="21">
        <v>1.004</v>
      </c>
      <c r="Q12" s="21">
        <v>1.004</v>
      </c>
      <c r="R12" s="21">
        <v>1.004</v>
      </c>
      <c r="S12" s="21">
        <v>1.004</v>
      </c>
      <c r="T12" s="21">
        <v>1.0029999999999999</v>
      </c>
      <c r="U12" s="21" t="s">
        <v>34</v>
      </c>
      <c r="V12" s="21" t="s">
        <v>34</v>
      </c>
    </row>
    <row r="13" spans="1:22">
      <c r="A13" s="1">
        <f t="shared" si="0"/>
        <v>2001</v>
      </c>
      <c r="B13" s="21" t="s">
        <v>34</v>
      </c>
      <c r="C13" s="21" t="s">
        <v>34</v>
      </c>
      <c r="D13" s="21" t="s">
        <v>34</v>
      </c>
      <c r="E13" s="21">
        <v>1.119</v>
      </c>
      <c r="F13" s="21">
        <v>1.07</v>
      </c>
      <c r="G13" s="21">
        <v>1.0449999999999999</v>
      </c>
      <c r="H13" s="21">
        <v>1.03</v>
      </c>
      <c r="I13" s="21">
        <v>1.022</v>
      </c>
      <c r="J13" s="21">
        <v>1.016</v>
      </c>
      <c r="K13" s="21">
        <v>1.014</v>
      </c>
      <c r="L13" s="21">
        <v>1.0109999999999999</v>
      </c>
      <c r="M13" s="21">
        <v>1.0109999999999999</v>
      </c>
      <c r="N13" s="21">
        <v>1.008</v>
      </c>
      <c r="O13" s="21">
        <v>1.0069999999999999</v>
      </c>
      <c r="P13" s="21">
        <v>1.006</v>
      </c>
      <c r="Q13" s="21">
        <v>1.0049999999999999</v>
      </c>
      <c r="R13" s="21">
        <v>1.0049999999999999</v>
      </c>
      <c r="S13" s="21">
        <v>1.004</v>
      </c>
      <c r="T13" s="21" t="s">
        <v>34</v>
      </c>
      <c r="U13" s="21" t="s">
        <v>34</v>
      </c>
      <c r="V13" s="21" t="s">
        <v>34</v>
      </c>
    </row>
    <row r="14" spans="1:22">
      <c r="A14" s="1">
        <f t="shared" si="0"/>
        <v>2002</v>
      </c>
      <c r="B14" s="21" t="s">
        <v>34</v>
      </c>
      <c r="C14" s="21" t="s">
        <v>34</v>
      </c>
      <c r="D14" s="21">
        <v>1.2290000000000001</v>
      </c>
      <c r="E14" s="21">
        <v>1.111</v>
      </c>
      <c r="F14" s="21">
        <v>1.0649999999999999</v>
      </c>
      <c r="G14" s="21">
        <v>1.0429999999999999</v>
      </c>
      <c r="H14" s="21">
        <v>1.028</v>
      </c>
      <c r="I14" s="21">
        <v>1.0189999999999999</v>
      </c>
      <c r="J14" s="21">
        <v>1.018</v>
      </c>
      <c r="K14" s="21">
        <v>1.014</v>
      </c>
      <c r="L14" s="21">
        <v>1.012</v>
      </c>
      <c r="M14" s="21">
        <v>1.0089999999999999</v>
      </c>
      <c r="N14" s="21">
        <v>1.0069999999999999</v>
      </c>
      <c r="O14" s="21">
        <v>1.006</v>
      </c>
      <c r="P14" s="21">
        <v>1.0049999999999999</v>
      </c>
      <c r="Q14" s="21">
        <v>1.0049999999999999</v>
      </c>
      <c r="R14" s="21">
        <v>1.0049999999999999</v>
      </c>
      <c r="S14" s="21" t="s">
        <v>34</v>
      </c>
      <c r="T14" s="21" t="s">
        <v>34</v>
      </c>
      <c r="U14" s="21" t="s">
        <v>34</v>
      </c>
      <c r="V14" s="21" t="s">
        <v>34</v>
      </c>
    </row>
    <row r="15" spans="1:22">
      <c r="A15" s="1">
        <f t="shared" si="0"/>
        <v>2003</v>
      </c>
      <c r="B15" s="21" t="s">
        <v>34</v>
      </c>
      <c r="C15" s="21">
        <v>1.5329999999999999</v>
      </c>
      <c r="D15" s="21">
        <v>1.206</v>
      </c>
      <c r="E15" s="21">
        <v>1.109</v>
      </c>
      <c r="F15" s="21">
        <v>1.0640000000000001</v>
      </c>
      <c r="G15" s="21">
        <v>1.0389999999999999</v>
      </c>
      <c r="H15" s="21">
        <v>1.0289999999999999</v>
      </c>
      <c r="I15" s="21">
        <v>1.0249999999999999</v>
      </c>
      <c r="J15" s="21">
        <v>1.022</v>
      </c>
      <c r="K15" s="21">
        <v>1.02</v>
      </c>
      <c r="L15" s="21">
        <v>1.0149999999999999</v>
      </c>
      <c r="M15" s="21">
        <v>1.01</v>
      </c>
      <c r="N15" s="21">
        <v>1.0089999999999999</v>
      </c>
      <c r="O15" s="21">
        <v>1.008</v>
      </c>
      <c r="P15" s="21">
        <v>1.0069999999999999</v>
      </c>
      <c r="Q15" s="21">
        <v>1.0069999999999999</v>
      </c>
      <c r="R15" s="21" t="s">
        <v>34</v>
      </c>
      <c r="S15" s="21" t="s">
        <v>34</v>
      </c>
      <c r="T15" s="21" t="s">
        <v>34</v>
      </c>
      <c r="U15" s="21" t="s">
        <v>34</v>
      </c>
      <c r="V15" s="21" t="s">
        <v>34</v>
      </c>
    </row>
    <row r="16" spans="1:22">
      <c r="A16" s="1">
        <f t="shared" si="0"/>
        <v>2004</v>
      </c>
      <c r="B16" s="21">
        <v>2.2290000000000001</v>
      </c>
      <c r="C16" s="21">
        <v>1.4259999999999999</v>
      </c>
      <c r="D16" s="21">
        <v>1.1910000000000001</v>
      </c>
      <c r="E16" s="21">
        <v>1.1020000000000001</v>
      </c>
      <c r="F16" s="21">
        <v>1.0669999999999999</v>
      </c>
      <c r="G16" s="21">
        <v>1.0449999999999999</v>
      </c>
      <c r="H16" s="21">
        <v>1.0409999999999999</v>
      </c>
      <c r="I16" s="21">
        <v>1.034</v>
      </c>
      <c r="J16" s="21">
        <v>1.026</v>
      </c>
      <c r="K16" s="21">
        <v>1.018</v>
      </c>
      <c r="L16" s="21">
        <v>1.014</v>
      </c>
      <c r="M16" s="21">
        <v>1.0109999999999999</v>
      </c>
      <c r="N16" s="21">
        <v>1.008</v>
      </c>
      <c r="O16" s="21">
        <v>1.008</v>
      </c>
      <c r="P16" s="21">
        <v>1.0089999999999999</v>
      </c>
      <c r="Q16" s="21" t="s">
        <v>34</v>
      </c>
      <c r="R16" s="21" t="s">
        <v>34</v>
      </c>
      <c r="S16" s="21" t="s">
        <v>34</v>
      </c>
      <c r="T16" s="21" t="s">
        <v>34</v>
      </c>
      <c r="U16" s="21" t="s">
        <v>34</v>
      </c>
      <c r="V16" s="21" t="s">
        <v>34</v>
      </c>
    </row>
    <row r="17" spans="1:22">
      <c r="A17" s="1">
        <f t="shared" si="0"/>
        <v>2005</v>
      </c>
      <c r="B17" s="21">
        <v>2.1379999999999999</v>
      </c>
      <c r="C17" s="21">
        <v>1.41</v>
      </c>
      <c r="D17" s="21">
        <v>1.2</v>
      </c>
      <c r="E17" s="21">
        <v>1.1040000000000001</v>
      </c>
      <c r="F17" s="21">
        <v>1.073</v>
      </c>
      <c r="G17" s="21">
        <v>1.0569999999999999</v>
      </c>
      <c r="H17" s="21">
        <v>1.048</v>
      </c>
      <c r="I17" s="21">
        <v>1.0369999999999999</v>
      </c>
      <c r="J17" s="21">
        <v>1.0249999999999999</v>
      </c>
      <c r="K17" s="21">
        <v>1.0189999999999999</v>
      </c>
      <c r="L17" s="21">
        <v>1.014</v>
      </c>
      <c r="M17" s="21">
        <v>1.012</v>
      </c>
      <c r="N17" s="21">
        <v>1.01</v>
      </c>
      <c r="O17" s="21">
        <v>1.01</v>
      </c>
      <c r="P17" s="21" t="s">
        <v>34</v>
      </c>
      <c r="Q17" s="21" t="s">
        <v>34</v>
      </c>
      <c r="R17" s="21" t="s">
        <v>34</v>
      </c>
      <c r="S17" s="21" t="s">
        <v>34</v>
      </c>
      <c r="T17" s="21" t="s">
        <v>34</v>
      </c>
      <c r="U17" s="21" t="s">
        <v>34</v>
      </c>
      <c r="V17" s="21" t="s">
        <v>34</v>
      </c>
    </row>
    <row r="18" spans="1:22">
      <c r="A18" s="1">
        <f t="shared" si="0"/>
        <v>2006</v>
      </c>
      <c r="B18" s="21">
        <v>2.2109999999999999</v>
      </c>
      <c r="C18" s="21">
        <v>1.423</v>
      </c>
      <c r="D18" s="21">
        <v>1.1970000000000001</v>
      </c>
      <c r="E18" s="21">
        <v>1.121</v>
      </c>
      <c r="F18" s="21">
        <v>1.085</v>
      </c>
      <c r="G18" s="21">
        <v>1.0620000000000001</v>
      </c>
      <c r="H18" s="21">
        <v>1.0449999999999999</v>
      </c>
      <c r="I18" s="21">
        <v>1.032</v>
      </c>
      <c r="J18" s="21">
        <v>1.026</v>
      </c>
      <c r="K18" s="21">
        <v>1.0169999999999999</v>
      </c>
      <c r="L18" s="21">
        <v>1.0149999999999999</v>
      </c>
      <c r="M18" s="21">
        <v>1.0109999999999999</v>
      </c>
      <c r="N18" s="21">
        <v>1.01</v>
      </c>
      <c r="O18" s="21" t="s">
        <v>34</v>
      </c>
      <c r="P18" s="21" t="s">
        <v>34</v>
      </c>
      <c r="Q18" s="21" t="s">
        <v>34</v>
      </c>
      <c r="R18" s="21" t="s">
        <v>34</v>
      </c>
      <c r="S18" s="21" t="s">
        <v>34</v>
      </c>
      <c r="T18" s="21" t="s">
        <v>34</v>
      </c>
      <c r="U18" s="21" t="s">
        <v>34</v>
      </c>
      <c r="V18" s="21" t="s">
        <v>34</v>
      </c>
    </row>
    <row r="19" spans="1:22">
      <c r="A19" s="1">
        <f t="shared" si="0"/>
        <v>2007</v>
      </c>
      <c r="B19" s="21">
        <v>2.2429999999999999</v>
      </c>
      <c r="C19" s="21">
        <v>1.4359999999999999</v>
      </c>
      <c r="D19" s="21">
        <v>1.2110000000000001</v>
      </c>
      <c r="E19" s="21">
        <v>1.127</v>
      </c>
      <c r="F19" s="21">
        <v>1.085</v>
      </c>
      <c r="G19" s="21">
        <v>1.0609999999999999</v>
      </c>
      <c r="H19" s="21">
        <v>1.042</v>
      </c>
      <c r="I19" s="21">
        <v>1.032</v>
      </c>
      <c r="J19" s="21">
        <v>1.0249999999999999</v>
      </c>
      <c r="K19" s="21">
        <v>1.0169999999999999</v>
      </c>
      <c r="L19" s="21">
        <v>1.016</v>
      </c>
      <c r="M19" s="21">
        <v>1.0129999999999999</v>
      </c>
      <c r="N19" s="21" t="s">
        <v>34</v>
      </c>
      <c r="O19" s="21" t="s">
        <v>34</v>
      </c>
      <c r="P19" s="21" t="s">
        <v>34</v>
      </c>
      <c r="Q19" s="21" t="s">
        <v>34</v>
      </c>
      <c r="R19" s="21" t="s">
        <v>34</v>
      </c>
      <c r="S19" s="21" t="s">
        <v>34</v>
      </c>
      <c r="T19" s="21" t="s">
        <v>34</v>
      </c>
      <c r="U19" s="21" t="s">
        <v>34</v>
      </c>
      <c r="V19" s="21" t="s">
        <v>34</v>
      </c>
    </row>
    <row r="20" spans="1:22">
      <c r="A20" s="1">
        <f t="shared" si="0"/>
        <v>2008</v>
      </c>
      <c r="B20" s="21">
        <v>2.2789999999999999</v>
      </c>
      <c r="C20" s="21">
        <v>1.468</v>
      </c>
      <c r="D20" s="21">
        <v>1.234</v>
      </c>
      <c r="E20" s="21">
        <v>1.1319999999999999</v>
      </c>
      <c r="F20" s="21">
        <v>1.083</v>
      </c>
      <c r="G20" s="21">
        <v>1.054</v>
      </c>
      <c r="H20" s="21">
        <v>1.04</v>
      </c>
      <c r="I20" s="21">
        <v>1.0249999999999999</v>
      </c>
      <c r="J20" s="21">
        <v>1.0209999999999999</v>
      </c>
      <c r="K20" s="21">
        <v>1.018</v>
      </c>
      <c r="L20" s="21">
        <v>1.014</v>
      </c>
      <c r="M20" s="21" t="s">
        <v>34</v>
      </c>
      <c r="N20" s="21" t="s">
        <v>34</v>
      </c>
      <c r="O20" s="21" t="s">
        <v>34</v>
      </c>
      <c r="P20" s="21" t="s">
        <v>34</v>
      </c>
      <c r="Q20" s="21" t="s">
        <v>34</v>
      </c>
      <c r="R20" s="21" t="s">
        <v>34</v>
      </c>
      <c r="S20" s="21" t="s">
        <v>34</v>
      </c>
      <c r="T20" s="21" t="s">
        <v>34</v>
      </c>
      <c r="U20" s="21" t="s">
        <v>34</v>
      </c>
      <c r="V20" s="21" t="s">
        <v>34</v>
      </c>
    </row>
    <row r="21" spans="1:22">
      <c r="A21" s="1">
        <f t="shared" si="0"/>
        <v>2009</v>
      </c>
      <c r="B21" s="21">
        <v>2.3690000000000002</v>
      </c>
      <c r="C21" s="21">
        <v>1.4990000000000001</v>
      </c>
      <c r="D21" s="21">
        <v>1.238</v>
      </c>
      <c r="E21" s="21">
        <v>1.135</v>
      </c>
      <c r="F21" s="21">
        <v>1.0840000000000001</v>
      </c>
      <c r="G21" s="21">
        <v>1.056</v>
      </c>
      <c r="H21" s="21">
        <v>1.0389999999999999</v>
      </c>
      <c r="I21" s="21">
        <v>1.0289999999999999</v>
      </c>
      <c r="J21" s="21">
        <v>1.0229999999999999</v>
      </c>
      <c r="K21" s="21">
        <v>1.016</v>
      </c>
      <c r="L21" s="21" t="s">
        <v>34</v>
      </c>
      <c r="M21" s="21" t="s">
        <v>34</v>
      </c>
      <c r="N21" s="21" t="s">
        <v>34</v>
      </c>
      <c r="O21" s="21" t="s">
        <v>34</v>
      </c>
      <c r="P21" s="21" t="s">
        <v>34</v>
      </c>
      <c r="Q21" s="21" t="s">
        <v>34</v>
      </c>
      <c r="R21" s="21" t="s">
        <v>34</v>
      </c>
      <c r="S21" s="21" t="s">
        <v>34</v>
      </c>
      <c r="T21" s="21" t="s">
        <v>34</v>
      </c>
      <c r="U21" s="21" t="s">
        <v>34</v>
      </c>
      <c r="V21" s="21" t="s">
        <v>34</v>
      </c>
    </row>
    <row r="22" spans="1:22">
      <c r="A22" s="1">
        <f t="shared" si="0"/>
        <v>2010</v>
      </c>
      <c r="B22" s="21">
        <v>2.399</v>
      </c>
      <c r="C22" s="21">
        <v>1.5049999999999999</v>
      </c>
      <c r="D22" s="21">
        <v>1.24</v>
      </c>
      <c r="E22" s="21">
        <v>1.129</v>
      </c>
      <c r="F22" s="21">
        <v>1.081</v>
      </c>
      <c r="G22" s="21">
        <v>1.0529999999999999</v>
      </c>
      <c r="H22" s="21">
        <v>1.036</v>
      </c>
      <c r="I22" s="21">
        <v>1.024</v>
      </c>
      <c r="J22" s="21">
        <v>1.0209999999999999</v>
      </c>
      <c r="K22" s="21" t="s">
        <v>34</v>
      </c>
      <c r="L22" s="21" t="s">
        <v>34</v>
      </c>
      <c r="M22" s="21" t="s">
        <v>34</v>
      </c>
      <c r="N22" s="21" t="s">
        <v>34</v>
      </c>
      <c r="O22" s="21" t="s">
        <v>34</v>
      </c>
      <c r="P22" s="21" t="s">
        <v>34</v>
      </c>
      <c r="Q22" s="21" t="s">
        <v>34</v>
      </c>
      <c r="R22" s="21" t="s">
        <v>34</v>
      </c>
      <c r="S22" s="21" t="s">
        <v>34</v>
      </c>
      <c r="T22" s="21" t="s">
        <v>34</v>
      </c>
      <c r="U22" s="21" t="s">
        <v>34</v>
      </c>
      <c r="V22" s="21" t="s">
        <v>34</v>
      </c>
    </row>
    <row r="23" spans="1:22">
      <c r="A23" s="1">
        <f t="shared" si="0"/>
        <v>2011</v>
      </c>
      <c r="B23" s="21">
        <v>2.4329999999999998</v>
      </c>
      <c r="C23" s="21">
        <v>1.4810000000000001</v>
      </c>
      <c r="D23" s="21">
        <v>1.2270000000000001</v>
      </c>
      <c r="E23" s="21">
        <v>1.129</v>
      </c>
      <c r="F23" s="21">
        <v>1.0760000000000001</v>
      </c>
      <c r="G23" s="21">
        <v>1.0529999999999999</v>
      </c>
      <c r="H23" s="21">
        <v>1.038</v>
      </c>
      <c r="I23" s="21">
        <v>1.0229999999999999</v>
      </c>
      <c r="J23" s="21" t="s">
        <v>34</v>
      </c>
      <c r="K23" s="21" t="s">
        <v>34</v>
      </c>
      <c r="L23" s="21" t="s">
        <v>34</v>
      </c>
      <c r="M23" s="21" t="s">
        <v>34</v>
      </c>
      <c r="N23" s="21" t="s">
        <v>34</v>
      </c>
      <c r="O23" s="21" t="s">
        <v>34</v>
      </c>
      <c r="P23" s="21" t="s">
        <v>34</v>
      </c>
      <c r="Q23" s="21" t="s">
        <v>34</v>
      </c>
      <c r="R23" s="21" t="s">
        <v>34</v>
      </c>
      <c r="S23" s="21" t="s">
        <v>34</v>
      </c>
      <c r="T23" s="21" t="s">
        <v>34</v>
      </c>
      <c r="U23" s="21" t="s">
        <v>34</v>
      </c>
      <c r="V23" s="21" t="s">
        <v>34</v>
      </c>
    </row>
    <row r="24" spans="1:22">
      <c r="A24" s="1">
        <f t="shared" si="0"/>
        <v>2012</v>
      </c>
      <c r="B24" s="21">
        <v>2.4239999999999999</v>
      </c>
      <c r="C24" s="21">
        <v>1.4770000000000001</v>
      </c>
      <c r="D24" s="21">
        <v>1.2190000000000001</v>
      </c>
      <c r="E24" s="21">
        <v>1.123</v>
      </c>
      <c r="F24" s="21">
        <v>1.075</v>
      </c>
      <c r="G24" s="21">
        <v>1.0469999999999999</v>
      </c>
      <c r="H24" s="21">
        <v>1.0309999999999999</v>
      </c>
      <c r="I24" s="21" t="s">
        <v>34</v>
      </c>
      <c r="J24" s="21" t="s">
        <v>34</v>
      </c>
      <c r="K24" s="21" t="s">
        <v>34</v>
      </c>
      <c r="L24" s="21" t="s">
        <v>34</v>
      </c>
      <c r="M24" s="21" t="s">
        <v>34</v>
      </c>
      <c r="N24" s="21" t="s">
        <v>34</v>
      </c>
      <c r="O24" s="21" t="s">
        <v>34</v>
      </c>
      <c r="P24" s="21" t="s">
        <v>34</v>
      </c>
      <c r="Q24" s="21" t="s">
        <v>34</v>
      </c>
      <c r="R24" s="21" t="s">
        <v>34</v>
      </c>
      <c r="S24" s="21" t="s">
        <v>34</v>
      </c>
      <c r="T24" s="21" t="s">
        <v>34</v>
      </c>
      <c r="U24" s="21" t="s">
        <v>34</v>
      </c>
      <c r="V24" s="21" t="s">
        <v>34</v>
      </c>
    </row>
    <row r="25" spans="1:22">
      <c r="A25" s="1">
        <f t="shared" si="0"/>
        <v>2013</v>
      </c>
      <c r="B25" s="21">
        <v>2.3849999999999998</v>
      </c>
      <c r="C25" s="21">
        <v>1.49</v>
      </c>
      <c r="D25" s="21">
        <v>1.216</v>
      </c>
      <c r="E25" s="21">
        <v>1.111</v>
      </c>
      <c r="F25" s="21">
        <v>1.0629999999999999</v>
      </c>
      <c r="G25" s="21">
        <v>1.038</v>
      </c>
      <c r="H25" s="21" t="s">
        <v>34</v>
      </c>
      <c r="I25" s="21" t="s">
        <v>34</v>
      </c>
      <c r="J25" s="21" t="s">
        <v>34</v>
      </c>
      <c r="K25" s="21" t="s">
        <v>34</v>
      </c>
      <c r="L25" s="21" t="s">
        <v>34</v>
      </c>
      <c r="M25" s="21" t="s">
        <v>34</v>
      </c>
      <c r="N25" s="21" t="s">
        <v>34</v>
      </c>
      <c r="O25" s="21" t="s">
        <v>34</v>
      </c>
      <c r="P25" s="21" t="s">
        <v>34</v>
      </c>
      <c r="Q25" s="21" t="s">
        <v>34</v>
      </c>
      <c r="R25" s="21" t="s">
        <v>34</v>
      </c>
      <c r="S25" s="21" t="s">
        <v>34</v>
      </c>
      <c r="T25" s="21" t="s">
        <v>34</v>
      </c>
      <c r="U25" s="21" t="s">
        <v>34</v>
      </c>
      <c r="V25" s="21" t="s">
        <v>34</v>
      </c>
    </row>
    <row r="26" spans="1:22">
      <c r="A26" s="1">
        <f t="shared" si="0"/>
        <v>2014</v>
      </c>
      <c r="B26" s="21">
        <v>2.4550000000000001</v>
      </c>
      <c r="C26" s="21">
        <v>1.5009999999999999</v>
      </c>
      <c r="D26" s="21">
        <v>1.2150000000000001</v>
      </c>
      <c r="E26" s="21">
        <v>1.109</v>
      </c>
      <c r="F26" s="21">
        <v>1.0620000000000001</v>
      </c>
      <c r="G26" s="21" t="s">
        <v>34</v>
      </c>
      <c r="H26" s="21" t="s">
        <v>34</v>
      </c>
      <c r="I26" s="21" t="s">
        <v>34</v>
      </c>
      <c r="J26" s="21" t="s">
        <v>34</v>
      </c>
      <c r="K26" s="21" t="s">
        <v>34</v>
      </c>
      <c r="L26" s="21" t="s">
        <v>34</v>
      </c>
      <c r="M26" s="21" t="s">
        <v>34</v>
      </c>
      <c r="N26" s="21" t="s">
        <v>34</v>
      </c>
      <c r="O26" s="21" t="s">
        <v>34</v>
      </c>
      <c r="P26" s="21" t="s">
        <v>34</v>
      </c>
      <c r="Q26" s="21" t="s">
        <v>34</v>
      </c>
      <c r="R26" s="21" t="s">
        <v>34</v>
      </c>
      <c r="S26" s="21" t="s">
        <v>34</v>
      </c>
      <c r="T26" s="21" t="s">
        <v>34</v>
      </c>
      <c r="U26" s="21" t="s">
        <v>34</v>
      </c>
      <c r="V26" s="21" t="s">
        <v>34</v>
      </c>
    </row>
    <row r="27" spans="1:22">
      <c r="A27" s="1">
        <f t="shared" si="0"/>
        <v>2015</v>
      </c>
      <c r="B27" s="21">
        <v>2.468</v>
      </c>
      <c r="C27" s="21">
        <v>1.476</v>
      </c>
      <c r="D27" s="21">
        <v>1.202</v>
      </c>
      <c r="E27" s="21">
        <v>1.1000000000000001</v>
      </c>
      <c r="F27" s="21" t="s">
        <v>34</v>
      </c>
      <c r="G27" s="21" t="s">
        <v>34</v>
      </c>
      <c r="H27" s="21" t="s">
        <v>34</v>
      </c>
      <c r="I27" s="21" t="s">
        <v>34</v>
      </c>
      <c r="J27" s="21" t="s">
        <v>34</v>
      </c>
      <c r="K27" s="21" t="s">
        <v>34</v>
      </c>
      <c r="L27" s="21" t="s">
        <v>34</v>
      </c>
      <c r="M27" s="21" t="s">
        <v>34</v>
      </c>
      <c r="N27" s="21" t="s">
        <v>34</v>
      </c>
      <c r="O27" s="21" t="s">
        <v>34</v>
      </c>
      <c r="P27" s="21" t="s">
        <v>34</v>
      </c>
      <c r="Q27" s="21" t="s">
        <v>34</v>
      </c>
      <c r="R27" s="21" t="s">
        <v>34</v>
      </c>
      <c r="S27" s="21" t="s">
        <v>34</v>
      </c>
      <c r="T27" s="21" t="s">
        <v>34</v>
      </c>
      <c r="U27" s="21" t="s">
        <v>34</v>
      </c>
      <c r="V27" s="21" t="s">
        <v>34</v>
      </c>
    </row>
    <row r="28" spans="1:22">
      <c r="A28" s="1">
        <f t="shared" si="0"/>
        <v>2016</v>
      </c>
      <c r="B28" s="21">
        <v>2.403</v>
      </c>
      <c r="C28" s="21">
        <v>1.4590000000000001</v>
      </c>
      <c r="D28" s="21">
        <v>1.1879999999999999</v>
      </c>
      <c r="E28" s="21" t="s">
        <v>34</v>
      </c>
      <c r="F28" s="21" t="s">
        <v>34</v>
      </c>
      <c r="G28" s="21" t="s">
        <v>34</v>
      </c>
      <c r="H28" s="21" t="s">
        <v>34</v>
      </c>
      <c r="I28" s="21" t="s">
        <v>34</v>
      </c>
      <c r="J28" s="21" t="s">
        <v>34</v>
      </c>
      <c r="K28" s="21" t="s">
        <v>34</v>
      </c>
      <c r="L28" s="21" t="s">
        <v>34</v>
      </c>
      <c r="M28" s="21" t="s">
        <v>34</v>
      </c>
      <c r="N28" s="21" t="s">
        <v>34</v>
      </c>
      <c r="O28" s="21" t="s">
        <v>34</v>
      </c>
      <c r="P28" s="21" t="s">
        <v>34</v>
      </c>
      <c r="Q28" s="21" t="s">
        <v>34</v>
      </c>
      <c r="R28" s="21" t="s">
        <v>34</v>
      </c>
      <c r="S28" s="21" t="s">
        <v>34</v>
      </c>
      <c r="T28" s="21" t="s">
        <v>34</v>
      </c>
      <c r="U28" s="21" t="s">
        <v>34</v>
      </c>
      <c r="V28" s="21" t="s">
        <v>34</v>
      </c>
    </row>
    <row r="29" spans="1:22">
      <c r="A29" s="1">
        <f t="shared" si="0"/>
        <v>2017</v>
      </c>
      <c r="B29" s="21">
        <v>2.39</v>
      </c>
      <c r="C29" s="21">
        <v>1.4410000000000001</v>
      </c>
      <c r="D29" s="21" t="s">
        <v>34</v>
      </c>
      <c r="E29" s="21" t="s">
        <v>34</v>
      </c>
      <c r="F29" s="21" t="s">
        <v>34</v>
      </c>
      <c r="G29" s="21" t="s">
        <v>34</v>
      </c>
      <c r="H29" s="21" t="s">
        <v>34</v>
      </c>
      <c r="I29" s="21" t="s">
        <v>34</v>
      </c>
      <c r="J29" s="21" t="s">
        <v>34</v>
      </c>
      <c r="K29" s="21" t="s">
        <v>34</v>
      </c>
      <c r="L29" s="21" t="s">
        <v>34</v>
      </c>
      <c r="M29" s="21" t="s">
        <v>34</v>
      </c>
      <c r="N29" s="21" t="s">
        <v>34</v>
      </c>
      <c r="O29" s="21" t="s">
        <v>34</v>
      </c>
      <c r="P29" s="21" t="s">
        <v>34</v>
      </c>
      <c r="Q29" s="21" t="s">
        <v>34</v>
      </c>
      <c r="R29" s="21" t="s">
        <v>34</v>
      </c>
      <c r="S29" s="21" t="s">
        <v>34</v>
      </c>
      <c r="T29" s="21" t="s">
        <v>34</v>
      </c>
      <c r="U29" s="21" t="s">
        <v>34</v>
      </c>
      <c r="V29" s="21" t="s">
        <v>34</v>
      </c>
    </row>
    <row r="30" spans="1:22">
      <c r="A30" s="1">
        <f>'Exhibit 2.4.1'!A29</f>
        <v>2018</v>
      </c>
      <c r="B30" s="21">
        <v>2.3450000000000002</v>
      </c>
      <c r="C30" s="21" t="s">
        <v>34</v>
      </c>
      <c r="D30" s="21" t="s">
        <v>34</v>
      </c>
      <c r="E30" s="21" t="s">
        <v>34</v>
      </c>
      <c r="F30" s="21" t="s">
        <v>34</v>
      </c>
      <c r="G30" s="21" t="s">
        <v>34</v>
      </c>
      <c r="H30" s="21" t="s">
        <v>34</v>
      </c>
      <c r="I30" s="21" t="s">
        <v>34</v>
      </c>
      <c r="J30" s="21" t="s">
        <v>34</v>
      </c>
      <c r="K30" s="21" t="s">
        <v>34</v>
      </c>
      <c r="L30" s="21" t="s">
        <v>34</v>
      </c>
      <c r="M30" s="21" t="s">
        <v>34</v>
      </c>
      <c r="N30" s="21" t="s">
        <v>34</v>
      </c>
      <c r="O30" s="21" t="s">
        <v>34</v>
      </c>
      <c r="P30" s="21" t="s">
        <v>34</v>
      </c>
      <c r="Q30" s="21" t="s">
        <v>34</v>
      </c>
      <c r="R30" s="21" t="s">
        <v>34</v>
      </c>
      <c r="S30" s="21" t="s">
        <v>34</v>
      </c>
      <c r="T30" s="21" t="s">
        <v>34</v>
      </c>
      <c r="U30" s="21" t="s">
        <v>34</v>
      </c>
      <c r="V30" s="21" t="s">
        <v>34</v>
      </c>
    </row>
    <row r="31" spans="1:22">
      <c r="A31" s="17"/>
      <c r="B31" s="17"/>
      <c r="C31" s="17"/>
      <c r="D31" s="17"/>
      <c r="E31" s="17"/>
      <c r="F31" s="17"/>
      <c r="G31" s="17"/>
      <c r="H31" s="17"/>
      <c r="I31" s="17"/>
      <c r="J31" s="17"/>
      <c r="K31" s="17"/>
      <c r="L31" s="17"/>
      <c r="M31" s="17"/>
      <c r="N31" s="17"/>
      <c r="O31" s="17"/>
      <c r="P31" s="17"/>
      <c r="Q31" s="23"/>
      <c r="R31" s="23"/>
      <c r="S31" s="17"/>
      <c r="T31" s="44"/>
      <c r="U31" s="44"/>
      <c r="V31" s="44"/>
    </row>
    <row r="32" spans="1:22">
      <c r="A32" s="1" t="s">
        <v>20</v>
      </c>
      <c r="B32" s="16" t="str">
        <f>TEXT(INDEX($B$40:$H$40,MATCH(B$4,$B$41:$H$41,0)),"0.000")&amp;"(b)"</f>
        <v>2.345(b)</v>
      </c>
      <c r="C32" s="16" t="str">
        <f>TEXT(INDEX($B$40:$H$40,MATCH(C$4,$B$41:$H$41,0)),"0.000")&amp;"(b)"</f>
        <v>1.441(b)</v>
      </c>
      <c r="D32" s="16" t="str">
        <f>TEXT(INDEX($B$40:$H$40,MATCH(D$4,$B$41:$H$41,0)),"0.000")&amp;"(b)"</f>
        <v>1.174(b)</v>
      </c>
      <c r="E32" s="16" t="str">
        <f>TEXT(INDEX($B$40:$H$40,MATCH(E$4,$B$41:$H$41,0)),"0.000")&amp;"(b)"</f>
        <v>1.088(b)</v>
      </c>
      <c r="F32" s="16" t="str">
        <f>TEXT(INDEX($B$40:$H$40,MATCH(F$4,$B$41:$H$41,0)),"0.000")&amp;"(b)"</f>
        <v>1.051(b)</v>
      </c>
      <c r="G32" s="431">
        <f>ROUND(G25,3)</f>
        <v>1.038</v>
      </c>
      <c r="H32" s="431">
        <f>ROUND(H24,3)</f>
        <v>1.0309999999999999</v>
      </c>
      <c r="I32" s="431">
        <f>ROUND(I23,3)</f>
        <v>1.0229999999999999</v>
      </c>
      <c r="J32" s="16">
        <f ca="1">AVERAGE(OFFSET(J$29:J$31,-COUNTA($B$4:J$4),0))</f>
        <v>1.0216666666666665</v>
      </c>
      <c r="K32" s="16">
        <f ca="1">AVERAGE(OFFSET(K$29:K$31,-COUNTA($B$4:K$4),0))</f>
        <v>1.0170000000000001</v>
      </c>
      <c r="L32" s="16">
        <f ca="1">AVERAGE(OFFSET(L$29:L$31,-COUNTA($B$4:L$4),0))</f>
        <v>1.0149999999999999</v>
      </c>
      <c r="M32" s="16">
        <f ca="1">AVERAGE(OFFSET(M$29:M$31,-COUNTA($B$4:M$4),0))</f>
        <v>1.0119999999999998</v>
      </c>
      <c r="N32" s="16">
        <f ca="1">AVERAGE(OFFSET(N$29:N$31,-COUNTA($B$4:N$4),0))</f>
        <v>1.0093333333333332</v>
      </c>
      <c r="O32" s="16">
        <f ca="1">AVERAGE(OFFSET(O$29:O$31,-COUNTA($B$4:O$4),0))</f>
        <v>1.0086666666666666</v>
      </c>
      <c r="P32" s="16">
        <f ca="1">AVERAGE(OFFSET(P$29:P$31,-COUNTA($B$4:P$4),0))</f>
        <v>1.0069999999999999</v>
      </c>
      <c r="Q32" s="16">
        <f ca="1">AVERAGE(OFFSET(Q$29:Q$31,-COUNTA($B$4:Q$4),0))</f>
        <v>1.0056666666666665</v>
      </c>
      <c r="R32" s="16">
        <f ca="1">AVERAGE(OFFSET(R$29:R$31,-COUNTA($B$4:R$4),0))</f>
        <v>1.0046666666666666</v>
      </c>
      <c r="S32" s="16">
        <f ca="1">AVERAGE(OFFSET(S$29:S$31,-COUNTA($B$4:S$4),0))</f>
        <v>1.0036666666666665</v>
      </c>
      <c r="T32" s="16">
        <f ca="1">AVERAGE(OFFSET(T$29:T$31,-COUNTA($B$4:T$4),0))</f>
        <v>1.0029999999999999</v>
      </c>
      <c r="U32" s="16">
        <f ca="1">AVERAGE(OFFSET(U$29:U$31,-COUNTA($B$4:U$4),0))</f>
        <v>1.0026666666666666</v>
      </c>
      <c r="V32" s="16">
        <f ca="1">AVERAGE(OFFSET(V$29:V$31,-COUNTA($B$4:V$4),0))</f>
        <v>1.0026666666666666</v>
      </c>
    </row>
    <row r="33" spans="1:22">
      <c r="A33" s="1" t="s">
        <v>21</v>
      </c>
      <c r="B33" s="284">
        <f ca="1">INDEX($B$40:$H$40,MATCH(B$4,$B$41:$H$41,0))*C33</f>
        <v>5.6324270512462169</v>
      </c>
      <c r="C33" s="284">
        <f ca="1">INDEX($B$40:$H$40,MATCH(C$4,$B$41:$H$41,0))*D33</f>
        <v>2.4022510409760143</v>
      </c>
      <c r="D33" s="284">
        <f ca="1">INDEX($B$40:$H$40,MATCH(D$4,$B$41:$H$41,0))*E33</f>
        <v>1.6670160162823875</v>
      </c>
      <c r="E33" s="284">
        <f ca="1">INDEX($B$40:$H$40,MATCH(E$4,$B$41:$H$41,0))*F33</f>
        <v>1.4200312467209906</v>
      </c>
      <c r="F33" s="284">
        <f ca="1">INDEX($B$40:$H$40,MATCH(F$4,$B$41:$H$41,0))*G33</f>
        <v>1.3054954101225054</v>
      </c>
      <c r="G33" s="16">
        <f t="shared" ref="G33:U33" ca="1" si="1">G32*H33</f>
        <v>1.2420693209872444</v>
      </c>
      <c r="H33" s="16">
        <f t="shared" ca="1" si="1"/>
        <v>1.1965985751322201</v>
      </c>
      <c r="I33" s="16">
        <f t="shared" ca="1" si="1"/>
        <v>1.160619374522037</v>
      </c>
      <c r="J33" s="16">
        <f t="shared" ca="1" si="1"/>
        <v>1.134525292787915</v>
      </c>
      <c r="K33" s="16">
        <f t="shared" ca="1" si="1"/>
        <v>1.1104652131692481</v>
      </c>
      <c r="L33" s="16">
        <f t="shared" ca="1" si="1"/>
        <v>1.0919028644732034</v>
      </c>
      <c r="M33" s="16">
        <f t="shared" ca="1" si="1"/>
        <v>1.0757663689391168</v>
      </c>
      <c r="N33" s="16">
        <f t="shared" ca="1" si="1"/>
        <v>1.0630102459872699</v>
      </c>
      <c r="O33" s="16">
        <f t="shared" ca="1" si="1"/>
        <v>1.05318056075357</v>
      </c>
      <c r="P33" s="16">
        <f t="shared" ca="1" si="1"/>
        <v>1.0441314217649407</v>
      </c>
      <c r="Q33" s="16">
        <f t="shared" ca="1" si="1"/>
        <v>1.0368733086047077</v>
      </c>
      <c r="R33" s="16">
        <f t="shared" ca="1" si="1"/>
        <v>1.0310308007338826</v>
      </c>
      <c r="S33" s="16">
        <f t="shared" ca="1" si="1"/>
        <v>1.0262416729268906</v>
      </c>
      <c r="T33" s="16">
        <f t="shared" ca="1" si="1"/>
        <v>1.0224925336368889</v>
      </c>
      <c r="U33" s="16">
        <f t="shared" ca="1" si="1"/>
        <v>1.0194342309440567</v>
      </c>
      <c r="V33" s="16">
        <f ca="1">'Exhibit 2.5.2'!B25*'Exhibit 2.5.1'!V32</f>
        <v>1.0167229696915461</v>
      </c>
    </row>
    <row r="34" spans="1:22">
      <c r="A34" s="17"/>
      <c r="B34" s="17"/>
      <c r="C34" s="17"/>
      <c r="D34" s="17"/>
      <c r="E34" s="17"/>
      <c r="F34" s="17"/>
      <c r="G34" s="17"/>
      <c r="H34" s="17"/>
      <c r="I34" s="17"/>
      <c r="J34" s="17"/>
      <c r="K34" s="17"/>
      <c r="L34" s="17"/>
      <c r="M34" s="17"/>
      <c r="N34" s="17"/>
      <c r="O34" s="17"/>
      <c r="P34" s="17"/>
      <c r="Q34" s="17"/>
      <c r="R34" s="17"/>
      <c r="S34" s="17"/>
      <c r="T34" s="44"/>
      <c r="U34" s="44"/>
      <c r="V34" s="44"/>
    </row>
    <row r="35" spans="1:22" ht="12.75" customHeight="1">
      <c r="A35" s="24" t="s">
        <v>22</v>
      </c>
      <c r="B35" s="355" t="s">
        <v>546</v>
      </c>
      <c r="C35" s="355"/>
      <c r="D35" s="355"/>
      <c r="E35" s="355"/>
      <c r="F35" s="355"/>
      <c r="G35" s="355"/>
      <c r="H35" s="355"/>
      <c r="I35" s="355"/>
      <c r="J35" s="355"/>
      <c r="K35" s="355"/>
      <c r="L35" s="355"/>
      <c r="M35" s="355"/>
      <c r="N35" s="355"/>
      <c r="O35" s="355"/>
      <c r="P35" s="355"/>
      <c r="Q35" s="355"/>
      <c r="R35" s="355"/>
      <c r="S35" s="355"/>
      <c r="T35" s="44"/>
      <c r="U35" s="44"/>
      <c r="V35" s="44"/>
    </row>
    <row r="36" spans="1:22" ht="12.75" customHeight="1">
      <c r="A36" s="24" t="s">
        <v>28</v>
      </c>
      <c r="B36" s="355" t="s">
        <v>406</v>
      </c>
      <c r="C36" s="355"/>
      <c r="D36" s="355"/>
      <c r="E36" s="355"/>
      <c r="F36" s="355"/>
      <c r="G36" s="355"/>
      <c r="H36" s="355"/>
      <c r="I36" s="355"/>
      <c r="J36" s="355"/>
      <c r="K36" s="355"/>
      <c r="L36" s="355"/>
      <c r="M36" s="355"/>
      <c r="N36" s="355"/>
      <c r="O36" s="355"/>
      <c r="P36" s="355"/>
      <c r="Q36" s="355"/>
      <c r="R36" s="355"/>
      <c r="S36" s="355"/>
      <c r="T36" s="44"/>
      <c r="U36" s="44"/>
      <c r="V36" s="44"/>
    </row>
    <row r="37" spans="1:22" ht="12.75" customHeight="1">
      <c r="A37" s="24"/>
      <c r="B37" s="44" t="s">
        <v>407</v>
      </c>
      <c r="C37" s="390"/>
      <c r="D37" s="390"/>
      <c r="E37" s="390"/>
      <c r="F37" s="390"/>
      <c r="G37" s="390"/>
      <c r="H37" s="390"/>
      <c r="I37" s="390"/>
      <c r="J37" s="390"/>
      <c r="K37" s="390"/>
      <c r="L37" s="390"/>
      <c r="M37" s="390"/>
      <c r="N37" s="390"/>
      <c r="O37" s="390"/>
      <c r="P37" s="390"/>
      <c r="Q37" s="390"/>
      <c r="R37" s="390"/>
      <c r="S37" s="390"/>
      <c r="T37" s="44"/>
      <c r="U37" s="44"/>
      <c r="V37" s="44"/>
    </row>
    <row r="38" spans="1:22" ht="12.75" customHeight="1">
      <c r="A38" s="44"/>
      <c r="B38" s="44"/>
      <c r="C38" s="16"/>
      <c r="D38" s="44"/>
      <c r="E38" s="44"/>
      <c r="F38" s="44"/>
      <c r="G38" s="44"/>
      <c r="H38" s="44"/>
      <c r="I38" s="44"/>
      <c r="J38" s="44"/>
      <c r="K38" s="44"/>
      <c r="L38" s="44"/>
      <c r="M38" s="44"/>
      <c r="N38" s="44"/>
      <c r="O38" s="44"/>
      <c r="P38" s="44"/>
      <c r="Q38" s="44"/>
      <c r="R38" s="44"/>
      <c r="S38" s="44"/>
      <c r="T38" s="44"/>
      <c r="U38" s="44"/>
      <c r="V38" s="44"/>
    </row>
    <row r="39" spans="1:22">
      <c r="A39" s="44"/>
      <c r="B39" s="16"/>
      <c r="C39" s="16" t="str">
        <f>'Exhibits 2.5.3 - 2.5.8'!D$306</f>
        <v>15-27</v>
      </c>
      <c r="D39" s="16" t="str">
        <f>'Exhibits 2.5.3 - 2.5.8'!E$306</f>
        <v>27-39</v>
      </c>
      <c r="E39" s="16" t="str">
        <f>'Exhibits 2.5.3 - 2.5.8'!F$306</f>
        <v>39-51</v>
      </c>
      <c r="F39" s="16" t="str">
        <f>'Exhibits 2.5.3 - 2.5.8'!G$306</f>
        <v>51-63</v>
      </c>
      <c r="G39" s="16" t="str">
        <f>'Exhibits 2.5.3 - 2.5.8'!H$306</f>
        <v>63-75</v>
      </c>
      <c r="H39" s="16"/>
      <c r="I39" s="16"/>
      <c r="J39" s="16"/>
      <c r="K39" s="16"/>
      <c r="L39" s="16"/>
      <c r="M39" s="16"/>
      <c r="N39" s="16"/>
      <c r="O39" s="16"/>
      <c r="P39" s="16"/>
      <c r="Q39" s="16"/>
      <c r="R39" s="16"/>
      <c r="S39" s="16"/>
      <c r="T39" s="16"/>
      <c r="U39" s="44"/>
      <c r="V39" s="44"/>
    </row>
    <row r="40" spans="1:22">
      <c r="A40" s="387" t="str">
        <f>'Exhibits 2.5.3 - 2.5.8'!C$316</f>
        <v>Latest Year</v>
      </c>
      <c r="B40" s="16"/>
      <c r="C40" s="16">
        <f>'Exhibits 2.5.3 - 2.5.8'!D$316</f>
        <v>2.3446454825794598</v>
      </c>
      <c r="D40" s="16">
        <f>'Exhibits 2.5.3 - 2.5.8'!E$316</f>
        <v>1.4410485667277957</v>
      </c>
      <c r="E40" s="16">
        <f>'Exhibits 2.5.3 - 2.5.8'!F$316</f>
        <v>1.1739291090472215</v>
      </c>
      <c r="F40" s="16">
        <f>'Exhibits 2.5.3 - 2.5.8'!G$316</f>
        <v>1.0877336187553026</v>
      </c>
      <c r="G40" s="16">
        <f>'Exhibits 2.5.3 - 2.5.8'!H$316</f>
        <v>1.0510648544840053</v>
      </c>
      <c r="H40" s="16"/>
      <c r="I40" s="16"/>
      <c r="J40" s="16"/>
      <c r="K40" s="44"/>
      <c r="L40" s="44"/>
      <c r="M40" s="44"/>
      <c r="N40" s="44"/>
      <c r="O40" s="44"/>
      <c r="P40" s="44"/>
      <c r="Q40" s="44"/>
      <c r="R40" s="44"/>
      <c r="S40" s="44"/>
      <c r="T40" s="44"/>
      <c r="U40" s="44"/>
      <c r="V40" s="44"/>
    </row>
    <row r="41" spans="1:22">
      <c r="A41" s="44"/>
      <c r="B41" s="44"/>
      <c r="C41" s="44" t="str">
        <f t="shared" ref="C41:F41" si="2">RIGHT(C39,2)&amp;"/"&amp;LEFT(C39,FIND("-",C39)-1)</f>
        <v>27/15</v>
      </c>
      <c r="D41" s="44" t="str">
        <f t="shared" si="2"/>
        <v>39/27</v>
      </c>
      <c r="E41" s="44" t="str">
        <f t="shared" si="2"/>
        <v>51/39</v>
      </c>
      <c r="F41" s="44" t="str">
        <f t="shared" si="2"/>
        <v>63/51</v>
      </c>
      <c r="G41" s="44" t="str">
        <f t="shared" ref="G41" si="3">RIGHT(G39,2)&amp;"/"&amp;LEFT(G39,FIND("-",G39)-1)</f>
        <v>75/63</v>
      </c>
      <c r="H41" s="44"/>
      <c r="I41" s="44"/>
      <c r="J41" s="44"/>
      <c r="K41" s="44"/>
      <c r="L41" s="44"/>
      <c r="M41" s="44"/>
      <c r="N41" s="44"/>
      <c r="O41" s="44"/>
      <c r="P41" s="44"/>
      <c r="Q41" s="44"/>
      <c r="R41" s="44"/>
      <c r="S41" s="44"/>
      <c r="T41" s="44"/>
      <c r="U41" s="44"/>
      <c r="V41" s="44"/>
    </row>
  </sheetData>
  <pageMargins left="0.7" right="0.7" top="0.75" bottom="0.75" header="0.3" footer="0.3"/>
  <pageSetup scale="67" fitToHeight="0" orientation="landscape" blackAndWhite="1" horizontalDpi="1200" verticalDpi="1200" r:id="rId1"/>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29"/>
  <sheetViews>
    <sheetView zoomScaleNormal="100" zoomScaleSheetLayoutView="100" workbookViewId="0"/>
  </sheetViews>
  <sheetFormatPr defaultColWidth="9.1328125" defaultRowHeight="12.75"/>
  <cols>
    <col min="1" max="1" width="13.59765625" style="178" bestFit="1" customWidth="1"/>
    <col min="2" max="3" width="8" style="178" customWidth="1"/>
    <col min="4" max="4" width="9.1328125" style="178" customWidth="1"/>
    <col min="5" max="13" width="8" style="178" customWidth="1"/>
    <col min="14" max="14" width="8" style="319" customWidth="1"/>
    <col min="15" max="15" width="14.86328125" style="178" bestFit="1" customWidth="1"/>
    <col min="16" max="16384" width="9.1328125" style="178"/>
  </cols>
  <sheetData>
    <row r="1" spans="1:15" ht="12.75" customHeight="1">
      <c r="A1" s="277" t="str">
        <f>+'Exhibit 2.5.1'!A1&amp;" (Continued)"</f>
        <v>Selected Indemnity Development Factors - Paid to Ultimate (Continued)</v>
      </c>
      <c r="B1" s="277"/>
      <c r="C1" s="277"/>
      <c r="D1" s="277"/>
      <c r="E1" s="277"/>
      <c r="F1" s="277"/>
      <c r="G1" s="277"/>
      <c r="H1" s="277"/>
      <c r="I1" s="277"/>
      <c r="J1" s="277"/>
      <c r="K1" s="277"/>
      <c r="L1" s="277"/>
      <c r="M1" s="277"/>
      <c r="N1" s="277"/>
      <c r="O1" s="277"/>
    </row>
    <row r="2" spans="1:15" ht="13.15">
      <c r="A2" s="17"/>
      <c r="B2" s="384"/>
      <c r="C2" s="384"/>
      <c r="D2" s="384"/>
      <c r="E2" s="384"/>
      <c r="F2" s="384"/>
      <c r="G2" s="384"/>
      <c r="H2" s="384"/>
      <c r="I2" s="384"/>
      <c r="J2" s="384"/>
      <c r="K2" s="384"/>
      <c r="L2" s="16"/>
      <c r="M2" s="384"/>
      <c r="N2" s="384"/>
      <c r="O2" s="384"/>
    </row>
    <row r="3" spans="1:15">
      <c r="A3" s="17"/>
      <c r="B3" s="280" t="s">
        <v>18</v>
      </c>
      <c r="C3" s="280"/>
      <c r="D3" s="280"/>
      <c r="E3" s="280"/>
      <c r="F3" s="280"/>
      <c r="G3" s="280"/>
      <c r="H3" s="280"/>
      <c r="I3" s="280"/>
      <c r="J3" s="280"/>
      <c r="K3" s="280"/>
      <c r="L3" s="280"/>
      <c r="M3" s="280"/>
      <c r="N3" s="280"/>
      <c r="O3" s="280"/>
    </row>
    <row r="4" spans="1:15">
      <c r="A4" s="19" t="s">
        <v>19</v>
      </c>
      <c r="B4" s="416" t="s">
        <v>491</v>
      </c>
      <c r="C4" s="416" t="s">
        <v>492</v>
      </c>
      <c r="D4" s="416" t="s">
        <v>493</v>
      </c>
      <c r="E4" s="416" t="s">
        <v>494</v>
      </c>
      <c r="F4" s="416" t="s">
        <v>495</v>
      </c>
      <c r="G4" s="416" t="s">
        <v>496</v>
      </c>
      <c r="H4" s="416" t="s">
        <v>497</v>
      </c>
      <c r="I4" s="416" t="s">
        <v>498</v>
      </c>
      <c r="J4" s="416" t="s">
        <v>499</v>
      </c>
      <c r="K4" s="416" t="s">
        <v>500</v>
      </c>
      <c r="L4" s="416" t="s">
        <v>501</v>
      </c>
      <c r="M4" s="416" t="s">
        <v>502</v>
      </c>
      <c r="N4" s="416" t="s">
        <v>503</v>
      </c>
      <c r="O4" s="416" t="s">
        <v>505</v>
      </c>
    </row>
    <row r="5" spans="1:15">
      <c r="A5" s="1">
        <f t="shared" ref="A5:A19" si="0">+A6-1</f>
        <v>1983</v>
      </c>
      <c r="B5" s="21">
        <v>1.0029999999999999</v>
      </c>
      <c r="C5" s="21">
        <v>1.0009999999999999</v>
      </c>
      <c r="D5" s="21">
        <v>1.0009999999999999</v>
      </c>
      <c r="E5" s="21">
        <v>1.0009999999999999</v>
      </c>
      <c r="F5" s="21">
        <v>1.0009999999999999</v>
      </c>
      <c r="G5" s="21">
        <v>1.0009999999999999</v>
      </c>
      <c r="H5" s="21">
        <v>1.0009999999999999</v>
      </c>
      <c r="I5" s="21">
        <v>1.0009999999999999</v>
      </c>
      <c r="J5" s="21">
        <v>1.0009999999999999</v>
      </c>
      <c r="K5" s="21">
        <v>1.0009999999999999</v>
      </c>
      <c r="L5" s="21">
        <v>1.0009999999999999</v>
      </c>
      <c r="M5" s="21">
        <v>1.0009999999999999</v>
      </c>
      <c r="N5" s="21">
        <v>1.0009999999999999</v>
      </c>
      <c r="O5" s="21"/>
    </row>
    <row r="6" spans="1:15" s="326" customFormat="1">
      <c r="A6" s="1">
        <f t="shared" si="0"/>
        <v>1984</v>
      </c>
      <c r="B6" s="21">
        <v>1.0009999999999999</v>
      </c>
      <c r="C6" s="21">
        <v>1.0009999999999999</v>
      </c>
      <c r="D6" s="21">
        <v>1.0009999999999999</v>
      </c>
      <c r="E6" s="21">
        <v>1.0009999999999999</v>
      </c>
      <c r="F6" s="21">
        <v>1.0009999999999999</v>
      </c>
      <c r="G6" s="21">
        <v>1.0009999999999999</v>
      </c>
      <c r="H6" s="21">
        <v>1.0009999999999999</v>
      </c>
      <c r="I6" s="21">
        <v>1.0009999999999999</v>
      </c>
      <c r="J6" s="21">
        <v>1</v>
      </c>
      <c r="K6" s="21">
        <v>1</v>
      </c>
      <c r="L6" s="21">
        <v>1.0009999999999999</v>
      </c>
      <c r="M6" s="21">
        <v>1</v>
      </c>
      <c r="N6" s="21">
        <v>1.0009999999999999</v>
      </c>
      <c r="O6" s="21"/>
    </row>
    <row r="7" spans="1:15">
      <c r="A7" s="1">
        <f t="shared" si="0"/>
        <v>1985</v>
      </c>
      <c r="B7" s="21">
        <v>1.0009999999999999</v>
      </c>
      <c r="C7" s="21">
        <v>1.0009999999999999</v>
      </c>
      <c r="D7" s="21">
        <v>1.0009999999999999</v>
      </c>
      <c r="E7" s="21">
        <v>1.0009999999999999</v>
      </c>
      <c r="F7" s="21">
        <v>1.0009999999999999</v>
      </c>
      <c r="G7" s="21">
        <v>1.002</v>
      </c>
      <c r="H7" s="21">
        <v>1.0009999999999999</v>
      </c>
      <c r="I7" s="21">
        <v>1.0009999999999999</v>
      </c>
      <c r="J7" s="21">
        <v>1.0009999999999999</v>
      </c>
      <c r="K7" s="21">
        <v>1.0009999999999999</v>
      </c>
      <c r="L7" s="21">
        <v>1</v>
      </c>
      <c r="M7" s="21">
        <v>1</v>
      </c>
      <c r="N7" s="21">
        <v>1</v>
      </c>
      <c r="O7" s="21"/>
    </row>
    <row r="8" spans="1:15">
      <c r="A8" s="1">
        <f t="shared" si="0"/>
        <v>1986</v>
      </c>
      <c r="B8" s="21">
        <v>1.0009999999999999</v>
      </c>
      <c r="C8" s="21">
        <v>1.002</v>
      </c>
      <c r="D8" s="21">
        <v>1.0009999999999999</v>
      </c>
      <c r="E8" s="21">
        <v>1.0009999999999999</v>
      </c>
      <c r="F8" s="21">
        <v>1.0009999999999999</v>
      </c>
      <c r="G8" s="21">
        <v>1.0009999999999999</v>
      </c>
      <c r="H8" s="21">
        <v>1.0009999999999999</v>
      </c>
      <c r="I8" s="21">
        <v>1.0009999999999999</v>
      </c>
      <c r="J8" s="21">
        <v>1.0009999999999999</v>
      </c>
      <c r="K8" s="21">
        <v>1.0009999999999999</v>
      </c>
      <c r="L8" s="21">
        <v>1</v>
      </c>
      <c r="M8" s="21">
        <v>1.0009999999999999</v>
      </c>
      <c r="N8" s="21" t="s">
        <v>34</v>
      </c>
      <c r="O8" s="21"/>
    </row>
    <row r="9" spans="1:15">
      <c r="A9" s="1">
        <f t="shared" si="0"/>
        <v>1987</v>
      </c>
      <c r="B9" s="21">
        <v>1.0009999999999999</v>
      </c>
      <c r="C9" s="21">
        <v>1.0009999999999999</v>
      </c>
      <c r="D9" s="21">
        <v>1.0009999999999999</v>
      </c>
      <c r="E9" s="21">
        <v>1.002</v>
      </c>
      <c r="F9" s="21">
        <v>1.0009999999999999</v>
      </c>
      <c r="G9" s="21">
        <v>1.0009999999999999</v>
      </c>
      <c r="H9" s="21">
        <v>1.0009999999999999</v>
      </c>
      <c r="I9" s="21">
        <v>1</v>
      </c>
      <c r="J9" s="21">
        <v>1.0009999999999999</v>
      </c>
      <c r="K9" s="21">
        <v>1.0009999999999999</v>
      </c>
      <c r="L9" s="21">
        <v>1.0009999999999999</v>
      </c>
      <c r="M9" s="21" t="s">
        <v>34</v>
      </c>
      <c r="N9" s="21" t="s">
        <v>34</v>
      </c>
      <c r="O9" s="21"/>
    </row>
    <row r="10" spans="1:15">
      <c r="A10" s="1">
        <f t="shared" si="0"/>
        <v>1988</v>
      </c>
      <c r="B10" s="21">
        <v>1.002</v>
      </c>
      <c r="C10" s="21">
        <v>1.002</v>
      </c>
      <c r="D10" s="21">
        <v>1.0009999999999999</v>
      </c>
      <c r="E10" s="21">
        <v>1.0009999999999999</v>
      </c>
      <c r="F10" s="21">
        <v>1.0009999999999999</v>
      </c>
      <c r="G10" s="21">
        <v>1.0009999999999999</v>
      </c>
      <c r="H10" s="21">
        <v>1</v>
      </c>
      <c r="I10" s="21">
        <v>1.0009999999999999</v>
      </c>
      <c r="J10" s="21">
        <v>1.0009999999999999</v>
      </c>
      <c r="K10" s="21">
        <v>1.0009999999999999</v>
      </c>
      <c r="L10" s="21" t="s">
        <v>34</v>
      </c>
      <c r="M10" s="21" t="s">
        <v>34</v>
      </c>
      <c r="N10" s="21" t="s">
        <v>34</v>
      </c>
      <c r="O10" s="21"/>
    </row>
    <row r="11" spans="1:15">
      <c r="A11" s="1">
        <f t="shared" si="0"/>
        <v>1989</v>
      </c>
      <c r="B11" s="21">
        <v>1.002</v>
      </c>
      <c r="C11" s="21">
        <v>1.0009999999999999</v>
      </c>
      <c r="D11" s="21">
        <v>1.0009999999999999</v>
      </c>
      <c r="E11" s="21">
        <v>1.0009999999999999</v>
      </c>
      <c r="F11" s="21">
        <v>1.0009999999999999</v>
      </c>
      <c r="G11" s="21">
        <v>1.0009999999999999</v>
      </c>
      <c r="H11" s="21">
        <v>1.0009999999999999</v>
      </c>
      <c r="I11" s="21">
        <v>1.0009999999999999</v>
      </c>
      <c r="J11" s="21">
        <v>1</v>
      </c>
      <c r="K11" s="21" t="s">
        <v>34</v>
      </c>
      <c r="L11" s="21" t="s">
        <v>34</v>
      </c>
      <c r="M11" s="21" t="s">
        <v>34</v>
      </c>
      <c r="N11" s="21" t="s">
        <v>34</v>
      </c>
      <c r="O11" s="21"/>
    </row>
    <row r="12" spans="1:15">
      <c r="A12" s="1">
        <f t="shared" si="0"/>
        <v>1990</v>
      </c>
      <c r="B12" s="21">
        <v>1.0009999999999999</v>
      </c>
      <c r="C12" s="21">
        <v>1.0009999999999999</v>
      </c>
      <c r="D12" s="21">
        <v>1.0009999999999999</v>
      </c>
      <c r="E12" s="21">
        <v>1.0009999999999999</v>
      </c>
      <c r="F12" s="21">
        <v>1</v>
      </c>
      <c r="G12" s="21">
        <v>1</v>
      </c>
      <c r="H12" s="21">
        <v>1.0009999999999999</v>
      </c>
      <c r="I12" s="21">
        <v>1.0009999999999999</v>
      </c>
      <c r="J12" s="21" t="s">
        <v>34</v>
      </c>
      <c r="K12" s="21" t="s">
        <v>34</v>
      </c>
      <c r="L12" s="21" t="s">
        <v>34</v>
      </c>
      <c r="M12" s="21" t="s">
        <v>34</v>
      </c>
      <c r="N12" s="21" t="s">
        <v>34</v>
      </c>
      <c r="O12" s="21"/>
    </row>
    <row r="13" spans="1:15">
      <c r="A13" s="1">
        <f t="shared" si="0"/>
        <v>1991</v>
      </c>
      <c r="B13" s="21">
        <v>1.0009999999999999</v>
      </c>
      <c r="C13" s="21">
        <v>1.0009999999999999</v>
      </c>
      <c r="D13" s="21">
        <v>1.0009999999999999</v>
      </c>
      <c r="E13" s="21">
        <v>1.0009999999999999</v>
      </c>
      <c r="F13" s="21">
        <v>1.0009999999999999</v>
      </c>
      <c r="G13" s="21">
        <v>1.0009999999999999</v>
      </c>
      <c r="H13" s="21">
        <v>1.0009999999999999</v>
      </c>
      <c r="I13" s="21" t="s">
        <v>34</v>
      </c>
      <c r="J13" s="21" t="s">
        <v>34</v>
      </c>
      <c r="K13" s="21" t="s">
        <v>34</v>
      </c>
      <c r="L13" s="21" t="s">
        <v>34</v>
      </c>
      <c r="M13" s="21" t="s">
        <v>34</v>
      </c>
      <c r="N13" s="21" t="s">
        <v>34</v>
      </c>
      <c r="O13" s="21"/>
    </row>
    <row r="14" spans="1:15">
      <c r="A14" s="1">
        <f t="shared" si="0"/>
        <v>1992</v>
      </c>
      <c r="B14" s="21">
        <v>1.0009999999999999</v>
      </c>
      <c r="C14" s="21">
        <v>1.0009999999999999</v>
      </c>
      <c r="D14" s="21">
        <v>1.0009999999999999</v>
      </c>
      <c r="E14" s="21">
        <v>1.0009999999999999</v>
      </c>
      <c r="F14" s="21">
        <v>1.0009999999999999</v>
      </c>
      <c r="G14" s="21">
        <v>1.0009999999999999</v>
      </c>
      <c r="H14" s="21" t="s">
        <v>34</v>
      </c>
      <c r="I14" s="21" t="s">
        <v>34</v>
      </c>
      <c r="J14" s="21" t="s">
        <v>34</v>
      </c>
      <c r="K14" s="21" t="s">
        <v>34</v>
      </c>
      <c r="L14" s="21" t="s">
        <v>34</v>
      </c>
      <c r="M14" s="21" t="s">
        <v>34</v>
      </c>
      <c r="N14" s="21" t="s">
        <v>34</v>
      </c>
      <c r="O14" s="21"/>
    </row>
    <row r="15" spans="1:15">
      <c r="A15" s="1">
        <f t="shared" si="0"/>
        <v>1993</v>
      </c>
      <c r="B15" s="21">
        <v>1.0009999999999999</v>
      </c>
      <c r="C15" s="21">
        <v>1.0009999999999999</v>
      </c>
      <c r="D15" s="21">
        <v>1.0009999999999999</v>
      </c>
      <c r="E15" s="21">
        <v>1.0009999999999999</v>
      </c>
      <c r="F15" s="21">
        <v>1.0009999999999999</v>
      </c>
      <c r="G15" s="21" t="s">
        <v>34</v>
      </c>
      <c r="H15" s="21" t="s">
        <v>34</v>
      </c>
      <c r="I15" s="21" t="s">
        <v>34</v>
      </c>
      <c r="J15" s="21" t="s">
        <v>34</v>
      </c>
      <c r="K15" s="21" t="s">
        <v>34</v>
      </c>
      <c r="L15" s="21" t="s">
        <v>34</v>
      </c>
      <c r="M15" s="21" t="s">
        <v>34</v>
      </c>
      <c r="N15" s="21" t="s">
        <v>34</v>
      </c>
      <c r="O15" s="21"/>
    </row>
    <row r="16" spans="1:15">
      <c r="A16" s="1">
        <f t="shared" si="0"/>
        <v>1994</v>
      </c>
      <c r="B16" s="21">
        <v>1.002</v>
      </c>
      <c r="C16" s="21">
        <v>1.002</v>
      </c>
      <c r="D16" s="21">
        <v>1.0009999999999999</v>
      </c>
      <c r="E16" s="21">
        <v>1.0009999999999999</v>
      </c>
      <c r="F16" s="21" t="s">
        <v>34</v>
      </c>
      <c r="G16" s="21" t="s">
        <v>34</v>
      </c>
      <c r="H16" s="21" t="s">
        <v>34</v>
      </c>
      <c r="I16" s="21" t="s">
        <v>34</v>
      </c>
      <c r="J16" s="21" t="s">
        <v>34</v>
      </c>
      <c r="K16" s="21" t="s">
        <v>34</v>
      </c>
      <c r="L16" s="21" t="s">
        <v>34</v>
      </c>
      <c r="M16" s="21" t="s">
        <v>34</v>
      </c>
      <c r="N16" s="21" t="s">
        <v>34</v>
      </c>
      <c r="O16" s="21"/>
    </row>
    <row r="17" spans="1:15">
      <c r="A17" s="1">
        <f t="shared" si="0"/>
        <v>1995</v>
      </c>
      <c r="B17" s="21">
        <v>1.002</v>
      </c>
      <c r="C17" s="21">
        <v>1.002</v>
      </c>
      <c r="D17" s="21">
        <v>1.002</v>
      </c>
      <c r="E17" s="21" t="s">
        <v>34</v>
      </c>
      <c r="F17" s="21" t="s">
        <v>34</v>
      </c>
      <c r="G17" s="21" t="s">
        <v>34</v>
      </c>
      <c r="H17" s="21" t="s">
        <v>34</v>
      </c>
      <c r="I17" s="21" t="s">
        <v>34</v>
      </c>
      <c r="J17" s="21" t="s">
        <v>34</v>
      </c>
      <c r="K17" s="21" t="s">
        <v>34</v>
      </c>
      <c r="L17" s="21" t="s">
        <v>34</v>
      </c>
      <c r="M17" s="21" t="s">
        <v>34</v>
      </c>
      <c r="N17" s="21" t="s">
        <v>34</v>
      </c>
      <c r="O17" s="21"/>
    </row>
    <row r="18" spans="1:15">
      <c r="A18" s="1">
        <f t="shared" si="0"/>
        <v>1996</v>
      </c>
      <c r="B18" s="21">
        <v>1.0029999999999999</v>
      </c>
      <c r="C18" s="21">
        <v>1.0029999999999999</v>
      </c>
      <c r="D18" s="21" t="s">
        <v>34</v>
      </c>
      <c r="E18" s="21" t="s">
        <v>34</v>
      </c>
      <c r="F18" s="21" t="s">
        <v>34</v>
      </c>
      <c r="G18" s="21" t="s">
        <v>34</v>
      </c>
      <c r="H18" s="21" t="s">
        <v>34</v>
      </c>
      <c r="I18" s="21" t="s">
        <v>34</v>
      </c>
      <c r="J18" s="21" t="s">
        <v>34</v>
      </c>
      <c r="K18" s="21" t="s">
        <v>34</v>
      </c>
      <c r="L18" s="21" t="s">
        <v>34</v>
      </c>
      <c r="M18" s="21" t="s">
        <v>34</v>
      </c>
      <c r="N18" s="21" t="s">
        <v>34</v>
      </c>
      <c r="O18" s="21"/>
    </row>
    <row r="19" spans="1:15">
      <c r="A19" s="1">
        <f t="shared" si="0"/>
        <v>1997</v>
      </c>
      <c r="B19" s="21">
        <v>1.0029999999999999</v>
      </c>
      <c r="C19" s="21" t="s">
        <v>34</v>
      </c>
      <c r="D19" s="21" t="s">
        <v>34</v>
      </c>
      <c r="E19" s="21" t="s">
        <v>34</v>
      </c>
      <c r="F19" s="21" t="s">
        <v>34</v>
      </c>
      <c r="G19" s="21" t="s">
        <v>34</v>
      </c>
      <c r="H19" s="21" t="s">
        <v>34</v>
      </c>
      <c r="I19" s="21" t="s">
        <v>34</v>
      </c>
      <c r="J19" s="21" t="s">
        <v>34</v>
      </c>
      <c r="K19" s="21" t="s">
        <v>34</v>
      </c>
      <c r="L19" s="21" t="s">
        <v>34</v>
      </c>
      <c r="M19" s="21" t="s">
        <v>34</v>
      </c>
      <c r="N19" s="21" t="s">
        <v>34</v>
      </c>
      <c r="O19" s="21"/>
    </row>
    <row r="20" spans="1:15">
      <c r="A20" s="1">
        <f>'Exhibit 2.5.1'!A10</f>
        <v>1998</v>
      </c>
      <c r="B20" s="21" t="s">
        <v>34</v>
      </c>
      <c r="C20" s="21" t="s">
        <v>34</v>
      </c>
      <c r="D20" s="21" t="s">
        <v>34</v>
      </c>
      <c r="E20" s="21" t="s">
        <v>34</v>
      </c>
      <c r="F20" s="21" t="s">
        <v>34</v>
      </c>
      <c r="G20" s="21" t="s">
        <v>34</v>
      </c>
      <c r="H20" s="21" t="s">
        <v>34</v>
      </c>
      <c r="I20" s="21" t="s">
        <v>34</v>
      </c>
      <c r="J20" s="21" t="s">
        <v>34</v>
      </c>
      <c r="K20" s="21" t="s">
        <v>34</v>
      </c>
      <c r="L20" s="21" t="s">
        <v>34</v>
      </c>
      <c r="M20" s="21" t="s">
        <v>34</v>
      </c>
      <c r="N20" s="21" t="s">
        <v>34</v>
      </c>
      <c r="O20" s="21"/>
    </row>
    <row r="21" spans="1:15">
      <c r="A21" s="1"/>
      <c r="B21" s="16"/>
      <c r="C21" s="16"/>
      <c r="D21" s="16"/>
      <c r="E21" s="16"/>
      <c r="F21" s="16"/>
      <c r="G21" s="16"/>
      <c r="H21" s="16"/>
      <c r="I21" s="16"/>
      <c r="J21" s="16"/>
      <c r="K21" s="16"/>
      <c r="L21" s="16"/>
      <c r="M21" s="16"/>
      <c r="N21" s="16"/>
      <c r="O21" s="16"/>
    </row>
    <row r="22" spans="1:15">
      <c r="A22" s="17"/>
      <c r="B22" s="16"/>
      <c r="C22" s="16"/>
      <c r="D22" s="16"/>
      <c r="E22" s="16"/>
      <c r="F22" s="16"/>
      <c r="G22" s="16"/>
      <c r="H22" s="16"/>
      <c r="I22" s="16"/>
      <c r="J22" s="16"/>
      <c r="K22" s="16"/>
      <c r="L22" s="16"/>
      <c r="M22" s="16"/>
      <c r="N22" s="16"/>
      <c r="O22" s="16"/>
    </row>
    <row r="23" spans="1:15" s="351" customFormat="1">
      <c r="A23" s="1" t="s">
        <v>58</v>
      </c>
      <c r="B23" s="16">
        <f ca="1">AVERAGE(OFFSET(B$18:B$20,-COUNTA($B$4:B$4),0))</f>
        <v>1.0026666666666666</v>
      </c>
      <c r="C23" s="16">
        <f ca="1">AVERAGE(OFFSET(C$18:C$20,-COUNTA($B$4:C$4),0))</f>
        <v>1.0023333333333333</v>
      </c>
      <c r="D23" s="16">
        <f ca="1">AVERAGE(OFFSET(D$18:D$20,-COUNTA($B$4:D$4),0))</f>
        <v>1.0013333333333332</v>
      </c>
      <c r="E23" s="16">
        <f ca="1">AVERAGE(OFFSET(E$18:E$20,-COUNTA($B$4:E$4),0))</f>
        <v>1.0009999999999999</v>
      </c>
      <c r="F23" s="16">
        <f ca="1">AVERAGE(OFFSET(F$18:F$20,-COUNTA($B$4:F$4),0))</f>
        <v>1.0009999999999999</v>
      </c>
      <c r="G23" s="16">
        <f ca="1">AVERAGE(OFFSET(G$18:G$20,-COUNTA($B$4:G$4),0))</f>
        <v>1.0006666666666666</v>
      </c>
      <c r="H23" s="16">
        <f ca="1">AVERAGE(OFFSET(H$18:H$20,-COUNTA($B$4:H$4),0))</f>
        <v>1.0009999999999999</v>
      </c>
      <c r="I23" s="16">
        <f ca="1">AVERAGE(OFFSET(I$18:I$20,-COUNTA($B$4:I$4),0))</f>
        <v>1.0009999999999999</v>
      </c>
      <c r="J23" s="16">
        <f ca="1">AVERAGE(OFFSET(J$18:J$20,-COUNTA($B$4:J$4),0))</f>
        <v>1.0006666666666666</v>
      </c>
      <c r="K23" s="16">
        <f ca="1">AVERAGE(OFFSET(K$18:K$20,-COUNTA($B$4:K$4),0))</f>
        <v>1.0009999999999999</v>
      </c>
      <c r="L23" s="16">
        <f ca="1">AVERAGE(OFFSET(L$18:L$20,-COUNTA($B$4:L$4),0))</f>
        <v>1.0003333333333333</v>
      </c>
      <c r="M23" s="16">
        <f ca="1">AVERAGE(OFFSET(M$18:M$20,-COUNTA($B$4:M$4),0))</f>
        <v>1.0003333333333333</v>
      </c>
      <c r="N23" s="16">
        <f ca="1">AVERAGE(OFFSET(N$18:N$20,-COUNTA($B$4:N$4),0))</f>
        <v>1.0006666666666666</v>
      </c>
      <c r="O23" s="21">
        <v>1.006</v>
      </c>
    </row>
    <row r="24" spans="1:15">
      <c r="A24" s="1" t="s">
        <v>36</v>
      </c>
      <c r="B24" s="21">
        <v>1.0018597857842453</v>
      </c>
      <c r="C24" s="21">
        <v>1.0016085121129683</v>
      </c>
      <c r="D24" s="21">
        <v>1.0011321389677519</v>
      </c>
      <c r="E24" s="21">
        <v>1.00072380628903</v>
      </c>
      <c r="F24" s="21">
        <v>1.0006725490544153</v>
      </c>
      <c r="G24" s="21">
        <v>1.0006746571389848</v>
      </c>
      <c r="H24" s="21">
        <v>1.0005335635386474</v>
      </c>
      <c r="I24" s="21">
        <v>1.0005795211738491</v>
      </c>
      <c r="J24" s="21">
        <v>1.0004780736570777</v>
      </c>
      <c r="K24" s="21">
        <v>1.0006535468249222</v>
      </c>
      <c r="L24" s="21">
        <v>1.000254648708039</v>
      </c>
      <c r="M24" s="21">
        <v>1.000254648708039</v>
      </c>
      <c r="N24" s="21">
        <v>1.0005092974160779</v>
      </c>
      <c r="O24" s="16">
        <f>O25</f>
        <v>1.004</v>
      </c>
    </row>
    <row r="25" spans="1:15">
      <c r="A25" s="1" t="s">
        <v>24</v>
      </c>
      <c r="B25" s="16">
        <f>B24*C25</f>
        <v>1.0140189192402389</v>
      </c>
      <c r="C25" s="16">
        <f t="shared" ref="C25:N25" si="1">C24*D25</f>
        <v>1.0121365620504226</v>
      </c>
      <c r="D25" s="16">
        <f t="shared" si="1"/>
        <v>1.0105111426372011</v>
      </c>
      <c r="E25" s="16">
        <f t="shared" si="1"/>
        <v>1.0093683973417533</v>
      </c>
      <c r="F25" s="16">
        <f t="shared" si="1"/>
        <v>1.0086383385689404</v>
      </c>
      <c r="G25" s="16">
        <f t="shared" si="1"/>
        <v>1.0079604357310015</v>
      </c>
      <c r="H25" s="16">
        <f t="shared" si="1"/>
        <v>1.0072808665034521</v>
      </c>
      <c r="I25" s="16">
        <f t="shared" si="1"/>
        <v>1.006743704769824</v>
      </c>
      <c r="J25" s="16">
        <f t="shared" si="1"/>
        <v>1.0061606133900716</v>
      </c>
      <c r="K25" s="16">
        <f t="shared" si="1"/>
        <v>1.0056798243585912</v>
      </c>
      <c r="L25" s="16">
        <f t="shared" si="1"/>
        <v>1.0050229947713845</v>
      </c>
      <c r="M25" s="16">
        <f t="shared" si="1"/>
        <v>1.0047671321193101</v>
      </c>
      <c r="N25" s="16">
        <f t="shared" si="1"/>
        <v>1.0045113346057422</v>
      </c>
      <c r="O25" s="21">
        <v>1.004</v>
      </c>
    </row>
    <row r="26" spans="1:15">
      <c r="A26" s="17"/>
      <c r="B26" s="16"/>
      <c r="C26" s="16"/>
      <c r="D26" s="16"/>
      <c r="E26" s="16"/>
      <c r="F26" s="16"/>
      <c r="G26" s="16"/>
      <c r="H26" s="16"/>
      <c r="I26" s="16"/>
      <c r="J26" s="16"/>
      <c r="K26" s="16"/>
      <c r="L26" s="16"/>
      <c r="M26" s="16"/>
      <c r="N26" s="16"/>
      <c r="O26" s="16"/>
    </row>
    <row r="27" spans="1:15" ht="12.75" customHeight="1">
      <c r="A27" s="3" t="s">
        <v>26</v>
      </c>
      <c r="B27" s="44" t="s">
        <v>456</v>
      </c>
      <c r="C27" s="389"/>
      <c r="D27" s="389"/>
      <c r="E27" s="389"/>
      <c r="F27" s="389"/>
      <c r="G27" s="389"/>
      <c r="H27" s="389"/>
      <c r="I27" s="389"/>
      <c r="J27" s="389"/>
      <c r="K27" s="389"/>
      <c r="L27" s="389"/>
      <c r="M27" s="389"/>
      <c r="N27" s="389"/>
      <c r="O27" s="389"/>
    </row>
    <row r="28" spans="1:15" ht="12.75" customHeight="1">
      <c r="A28" s="3" t="s">
        <v>30</v>
      </c>
      <c r="B28" s="355" t="s">
        <v>544</v>
      </c>
      <c r="C28" s="389"/>
      <c r="D28" s="389"/>
      <c r="E28" s="389"/>
      <c r="F28" s="389"/>
      <c r="G28" s="389"/>
      <c r="H28" s="389"/>
      <c r="I28" s="389"/>
      <c r="J28" s="389"/>
      <c r="K28" s="389"/>
      <c r="L28" s="389"/>
      <c r="M28" s="389"/>
      <c r="N28" s="389"/>
      <c r="O28" s="389"/>
    </row>
    <row r="29" spans="1:15">
      <c r="A29" s="44"/>
      <c r="B29" s="355" t="s">
        <v>545</v>
      </c>
      <c r="C29" s="44"/>
      <c r="D29" s="44"/>
      <c r="E29" s="44"/>
      <c r="F29" s="44"/>
      <c r="G29" s="44"/>
      <c r="H29" s="44"/>
      <c r="I29" s="44"/>
      <c r="J29" s="44"/>
      <c r="K29" s="44"/>
      <c r="L29" s="44"/>
      <c r="M29" s="44"/>
      <c r="N29" s="44"/>
      <c r="O29" s="44"/>
    </row>
  </sheetData>
  <pageMargins left="0.7" right="0.7" top="0.75" bottom="0.75" header="0.3" footer="0.3"/>
  <pageSetup scale="91" orientation="landscape" blackAndWhite="1" horizontalDpi="1200" verticalDpi="1200" r:id="rId1"/>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25"/>
  <sheetViews>
    <sheetView zoomScaleNormal="100" zoomScaleSheetLayoutView="84" workbookViewId="0"/>
  </sheetViews>
  <sheetFormatPr defaultRowHeight="14.25"/>
  <cols>
    <col min="1" max="1" width="8.73046875" customWidth="1"/>
    <col min="2" max="2" width="7.73046875" customWidth="1"/>
    <col min="3" max="3" width="15.73046875" bestFit="1" customWidth="1"/>
    <col min="4" max="10" width="10" customWidth="1"/>
    <col min="11" max="11" width="12.73046875" customWidth="1"/>
  </cols>
  <sheetData>
    <row r="1" spans="1:11" ht="45" customHeight="1">
      <c r="K1" s="148" t="s">
        <v>384</v>
      </c>
    </row>
    <row r="2" spans="1:11" ht="12.75" customHeight="1">
      <c r="A2" s="279" t="s">
        <v>31</v>
      </c>
      <c r="B2" s="279"/>
      <c r="C2" s="279"/>
      <c r="D2" s="279"/>
      <c r="E2" s="279"/>
      <c r="F2" s="279"/>
      <c r="G2" s="279"/>
      <c r="H2" s="279"/>
      <c r="I2" s="279"/>
      <c r="J2" s="279"/>
      <c r="K2" s="279"/>
    </row>
    <row r="3" spans="1:11" ht="12.75" customHeight="1">
      <c r="A3" s="279" t="s">
        <v>262</v>
      </c>
      <c r="B3" s="279"/>
      <c r="C3" s="279"/>
      <c r="D3" s="279"/>
      <c r="E3" s="279"/>
      <c r="F3" s="279"/>
      <c r="G3" s="279"/>
      <c r="H3" s="279"/>
      <c r="I3" s="279"/>
      <c r="J3" s="279"/>
      <c r="K3" s="279"/>
    </row>
    <row r="4" spans="1:11" ht="12.75" customHeight="1">
      <c r="A4" s="279" t="s">
        <v>263</v>
      </c>
      <c r="B4" s="279"/>
      <c r="C4" s="279"/>
      <c r="D4" s="279"/>
      <c r="E4" s="279"/>
      <c r="F4" s="279"/>
      <c r="G4" s="279"/>
      <c r="H4" s="279"/>
      <c r="I4" s="279"/>
      <c r="J4" s="279"/>
      <c r="K4" s="279"/>
    </row>
    <row r="5" spans="1:11">
      <c r="A5" s="10"/>
      <c r="B5" s="10"/>
      <c r="C5" s="10"/>
      <c r="D5" s="10"/>
      <c r="E5" s="10"/>
      <c r="F5" s="10"/>
      <c r="G5" s="10"/>
      <c r="H5" s="10"/>
    </row>
    <row r="6" spans="1:11">
      <c r="A6" s="537" t="s">
        <v>264</v>
      </c>
      <c r="B6" s="537"/>
      <c r="C6" s="537"/>
      <c r="D6" s="537"/>
      <c r="E6" s="537"/>
      <c r="F6" s="537"/>
      <c r="G6" s="537"/>
      <c r="H6" s="537"/>
      <c r="I6" s="537"/>
      <c r="J6" s="337"/>
    </row>
    <row r="7" spans="1:11">
      <c r="A7" s="197"/>
      <c r="B7" s="197"/>
      <c r="C7" s="197"/>
      <c r="D7" s="197"/>
      <c r="E7" s="197"/>
      <c r="F7" s="197"/>
      <c r="G7" s="197"/>
      <c r="H7" s="197"/>
      <c r="I7" s="197"/>
      <c r="J7" s="338"/>
    </row>
    <row r="8" spans="1:11">
      <c r="A8" s="197"/>
      <c r="B8" s="197"/>
      <c r="C8" s="197"/>
      <c r="D8" s="197"/>
      <c r="E8" s="197"/>
      <c r="F8" s="197"/>
      <c r="G8" s="197"/>
      <c r="H8" s="197"/>
      <c r="I8" s="197"/>
      <c r="J8" s="338"/>
    </row>
    <row r="9" spans="1:11">
      <c r="A9" s="197"/>
      <c r="B9" s="197"/>
      <c r="C9" s="199" t="s">
        <v>203</v>
      </c>
      <c r="D9" s="533"/>
      <c r="E9" s="533"/>
      <c r="F9" s="533"/>
      <c r="G9" s="533"/>
      <c r="H9" s="533"/>
      <c r="I9" s="533"/>
      <c r="J9" s="341"/>
    </row>
    <row r="10" spans="1:11">
      <c r="A10" s="197"/>
      <c r="B10" s="197"/>
      <c r="C10" s="26" t="s">
        <v>8</v>
      </c>
      <c r="D10" s="79">
        <v>15</v>
      </c>
      <c r="E10" s="79">
        <v>27</v>
      </c>
      <c r="F10" s="79">
        <v>39</v>
      </c>
      <c r="G10" s="79">
        <v>51</v>
      </c>
      <c r="H10" s="79">
        <v>63</v>
      </c>
      <c r="I10" s="79">
        <v>75</v>
      </c>
      <c r="J10" s="79"/>
    </row>
    <row r="11" spans="1:11" ht="4.9000000000000004" customHeight="1">
      <c r="A11" s="197"/>
      <c r="B11" s="197"/>
      <c r="C11" s="197"/>
      <c r="D11" s="197"/>
      <c r="E11" s="197"/>
      <c r="F11" s="197"/>
      <c r="G11" s="197"/>
      <c r="H11" s="197"/>
      <c r="I11" s="197"/>
      <c r="J11" s="338"/>
    </row>
    <row r="12" spans="1:11">
      <c r="A12" s="197"/>
      <c r="B12" s="197"/>
      <c r="C12" s="199">
        <v>2011</v>
      </c>
      <c r="D12" s="417"/>
      <c r="E12" s="417"/>
      <c r="F12" s="417"/>
      <c r="G12" s="417"/>
      <c r="H12" s="417"/>
      <c r="I12" s="417">
        <v>118056.68676780445</v>
      </c>
      <c r="J12" s="75"/>
    </row>
    <row r="13" spans="1:11">
      <c r="A13" s="197"/>
      <c r="B13" s="197"/>
      <c r="C13" s="199">
        <v>2012</v>
      </c>
      <c r="D13" s="417"/>
      <c r="E13" s="417"/>
      <c r="F13" s="417"/>
      <c r="G13" s="417"/>
      <c r="H13" s="417">
        <v>124734.36537833596</v>
      </c>
      <c r="I13" s="417">
        <v>125038.4253323033</v>
      </c>
      <c r="J13" s="75"/>
    </row>
    <row r="14" spans="1:11">
      <c r="A14" s="197"/>
      <c r="B14" s="197"/>
      <c r="C14" s="199">
        <v>2013</v>
      </c>
      <c r="D14" s="417"/>
      <c r="E14" s="417"/>
      <c r="F14" s="417"/>
      <c r="G14" s="417">
        <v>132687.21340875633</v>
      </c>
      <c r="H14" s="417">
        <v>133239.54507072773</v>
      </c>
      <c r="I14" s="417">
        <v>133420</v>
      </c>
      <c r="J14" s="75"/>
    </row>
    <row r="15" spans="1:11">
      <c r="A15" s="197"/>
      <c r="B15" s="197"/>
      <c r="C15" s="199">
        <v>2014</v>
      </c>
      <c r="D15" s="417"/>
      <c r="E15" s="417"/>
      <c r="F15" s="417">
        <v>137695.83276430969</v>
      </c>
      <c r="G15" s="417">
        <v>138801.48305454754</v>
      </c>
      <c r="H15" s="417">
        <v>139291</v>
      </c>
      <c r="I15" s="417">
        <v>139484</v>
      </c>
      <c r="J15" s="75"/>
    </row>
    <row r="16" spans="1:11">
      <c r="A16" s="197"/>
      <c r="B16" s="197"/>
      <c r="C16" s="199">
        <v>2015</v>
      </c>
      <c r="D16" s="417"/>
      <c r="E16" s="417">
        <v>141124.82195630056</v>
      </c>
      <c r="F16" s="417">
        <v>143383.0185068553</v>
      </c>
      <c r="G16" s="417">
        <v>144053</v>
      </c>
      <c r="H16" s="417">
        <v>144477</v>
      </c>
      <c r="I16" s="417" t="s">
        <v>34</v>
      </c>
      <c r="J16" s="75"/>
    </row>
    <row r="17" spans="1:10">
      <c r="A17" s="197"/>
      <c r="B17" s="197"/>
      <c r="C17" s="199">
        <v>2016</v>
      </c>
      <c r="D17" s="417">
        <v>130818.90257145574</v>
      </c>
      <c r="E17" s="417">
        <v>143982.4729874825</v>
      </c>
      <c r="F17" s="417">
        <v>146759</v>
      </c>
      <c r="G17" s="417">
        <v>147507</v>
      </c>
      <c r="H17" s="417" t="s">
        <v>34</v>
      </c>
      <c r="I17" s="417" t="s">
        <v>34</v>
      </c>
      <c r="J17" s="75"/>
    </row>
    <row r="18" spans="1:10">
      <c r="A18" s="197"/>
      <c r="B18" s="197"/>
      <c r="C18" s="199">
        <v>2017</v>
      </c>
      <c r="D18" s="417">
        <v>133053.65318635892</v>
      </c>
      <c r="E18" s="417">
        <v>144784</v>
      </c>
      <c r="F18" s="417">
        <v>147273</v>
      </c>
      <c r="G18" s="417" t="s">
        <v>34</v>
      </c>
      <c r="H18" s="417" t="s">
        <v>34</v>
      </c>
      <c r="I18" s="417" t="s">
        <v>34</v>
      </c>
      <c r="J18" s="75"/>
    </row>
    <row r="19" spans="1:10">
      <c r="A19" s="197"/>
      <c r="B19" s="197"/>
      <c r="C19" s="199">
        <v>2018</v>
      </c>
      <c r="D19" s="417">
        <v>135505</v>
      </c>
      <c r="E19" s="417">
        <v>147945</v>
      </c>
      <c r="F19" s="417" t="s">
        <v>34</v>
      </c>
      <c r="G19" s="417" t="s">
        <v>34</v>
      </c>
      <c r="H19" s="417" t="s">
        <v>34</v>
      </c>
      <c r="I19" s="417" t="s">
        <v>34</v>
      </c>
      <c r="J19" s="75"/>
    </row>
    <row r="20" spans="1:10">
      <c r="A20" s="197"/>
      <c r="B20" s="197"/>
      <c r="C20" s="199">
        <v>2019</v>
      </c>
      <c r="D20" s="417">
        <v>138773</v>
      </c>
      <c r="E20" s="417" t="s">
        <v>34</v>
      </c>
      <c r="F20" s="417" t="s">
        <v>34</v>
      </c>
      <c r="G20" s="417" t="s">
        <v>34</v>
      </c>
      <c r="H20" s="417" t="s">
        <v>34</v>
      </c>
      <c r="I20" s="417" t="s">
        <v>34</v>
      </c>
      <c r="J20" s="75"/>
    </row>
    <row r="21" spans="1:10">
      <c r="A21" s="197"/>
      <c r="B21" s="197"/>
      <c r="C21" s="199"/>
      <c r="D21" s="75"/>
      <c r="E21" s="75"/>
      <c r="F21" s="75"/>
      <c r="G21" s="75"/>
      <c r="H21" s="75"/>
      <c r="I21" s="75"/>
      <c r="J21" s="75"/>
    </row>
    <row r="22" spans="1:10">
      <c r="A22" s="537" t="s">
        <v>265</v>
      </c>
      <c r="B22" s="537"/>
      <c r="C22" s="537"/>
      <c r="D22" s="537"/>
      <c r="E22" s="537"/>
      <c r="F22" s="537"/>
      <c r="G22" s="537"/>
      <c r="H22" s="537"/>
      <c r="I22" s="537"/>
      <c r="J22" s="337"/>
    </row>
    <row r="23" spans="1:10">
      <c r="A23" s="49"/>
      <c r="B23" s="49"/>
      <c r="C23" s="50"/>
      <c r="D23" s="50"/>
      <c r="E23" s="50"/>
      <c r="F23" s="50"/>
      <c r="G23" s="50"/>
      <c r="H23" s="50"/>
      <c r="I23" s="50"/>
      <c r="J23" s="50"/>
    </row>
    <row r="24" spans="1:10">
      <c r="A24" s="197"/>
      <c r="B24" s="197"/>
      <c r="C24" s="199" t="s">
        <v>54</v>
      </c>
      <c r="D24" s="533"/>
      <c r="E24" s="533"/>
      <c r="F24" s="533"/>
      <c r="G24" s="533"/>
      <c r="H24" s="533"/>
      <c r="I24" s="533"/>
      <c r="J24" s="341"/>
    </row>
    <row r="25" spans="1:10">
      <c r="A25" s="197"/>
      <c r="B25" s="197"/>
      <c r="C25" s="26" t="s">
        <v>8</v>
      </c>
      <c r="D25" s="79" t="str">
        <f>+D10&amp;"-"&amp;E10</f>
        <v>15-27</v>
      </c>
      <c r="E25" s="79" t="str">
        <f>+E10&amp;"-"&amp;F10</f>
        <v>27-39</v>
      </c>
      <c r="F25" s="79" t="str">
        <f>+F10&amp;"-"&amp;G10</f>
        <v>39-51</v>
      </c>
      <c r="G25" s="79" t="str">
        <f>+G10&amp;"-"&amp;H10</f>
        <v>51-63</v>
      </c>
      <c r="H25" s="79" t="str">
        <f>+H10&amp;"-"&amp;I10</f>
        <v>63-75</v>
      </c>
      <c r="I25" s="79" t="str">
        <f>RIGHT(H25,2)&amp;"-Ult"</f>
        <v>75-Ult</v>
      </c>
      <c r="J25" s="79"/>
    </row>
    <row r="26" spans="1:10" ht="4.1500000000000004" customHeight="1">
      <c r="A26" s="197"/>
      <c r="B26" s="197"/>
      <c r="C26" s="197"/>
      <c r="D26" s="197"/>
      <c r="E26" s="197"/>
      <c r="F26" s="197"/>
      <c r="G26" s="197"/>
      <c r="H26" s="197"/>
      <c r="I26" s="197"/>
      <c r="J26" s="338"/>
    </row>
    <row r="27" spans="1:10">
      <c r="A27" s="197"/>
      <c r="B27" s="197"/>
      <c r="C27" s="225">
        <v>2012</v>
      </c>
      <c r="D27" s="54"/>
      <c r="E27" s="54"/>
      <c r="F27" s="54"/>
      <c r="G27" s="54"/>
      <c r="H27" s="149">
        <f t="shared" ref="H27" si="0">I13/H13</f>
        <v>1.0024376598465474</v>
      </c>
      <c r="I27" s="54"/>
      <c r="J27" s="54"/>
    </row>
    <row r="28" spans="1:10">
      <c r="A28" s="197"/>
      <c r="B28" s="197"/>
      <c r="C28" s="225">
        <v>2013</v>
      </c>
      <c r="D28" s="54"/>
      <c r="E28" s="54"/>
      <c r="F28" s="54"/>
      <c r="G28" s="149">
        <f t="shared" ref="G28:H28" si="1">H14/G14</f>
        <v>1.0041626592930992</v>
      </c>
      <c r="H28" s="149">
        <f t="shared" si="1"/>
        <v>1.0013543646458449</v>
      </c>
      <c r="I28" s="54"/>
      <c r="J28" s="54"/>
    </row>
    <row r="29" spans="1:10">
      <c r="A29" s="197"/>
      <c r="B29" s="197"/>
      <c r="C29" s="225">
        <v>2014</v>
      </c>
      <c r="D29" s="54"/>
      <c r="E29" s="54"/>
      <c r="F29" s="149">
        <f t="shared" ref="F29:G30" si="2">G15/F15</f>
        <v>1.0080296568751674</v>
      </c>
      <c r="G29" s="149">
        <f t="shared" si="2"/>
        <v>1.0035267414632745</v>
      </c>
      <c r="H29" s="149">
        <f>I15/H15</f>
        <v>1.0013855884443359</v>
      </c>
      <c r="I29" s="54"/>
      <c r="J29" s="54"/>
    </row>
    <row r="30" spans="1:10">
      <c r="A30" s="197"/>
      <c r="B30" s="197"/>
      <c r="C30" s="225">
        <v>2015</v>
      </c>
      <c r="D30" s="54"/>
      <c r="E30" s="149">
        <f t="shared" ref="D30:E32" si="3">F16/E16</f>
        <v>1.0160014129282939</v>
      </c>
      <c r="F30" s="149">
        <f t="shared" si="2"/>
        <v>1.0046726697493307</v>
      </c>
      <c r="G30" s="149">
        <f>H16/G16</f>
        <v>1.0029433611240308</v>
      </c>
      <c r="H30" s="54"/>
      <c r="I30" s="54"/>
      <c r="J30" s="54"/>
    </row>
    <row r="31" spans="1:10">
      <c r="A31" s="197"/>
      <c r="B31" s="197"/>
      <c r="C31" s="225">
        <v>2016</v>
      </c>
      <c r="D31" s="149">
        <f t="shared" si="3"/>
        <v>1.1006243758147762</v>
      </c>
      <c r="E31" s="149">
        <f t="shared" si="3"/>
        <v>1.0192837847198171</v>
      </c>
      <c r="F31" s="149">
        <f>G17/F17</f>
        <v>1.0050967913381803</v>
      </c>
      <c r="G31" s="54"/>
      <c r="H31" s="54"/>
      <c r="I31" s="54"/>
      <c r="J31" s="54"/>
    </row>
    <row r="32" spans="1:10">
      <c r="A32" s="197"/>
      <c r="B32" s="197"/>
      <c r="C32" s="225">
        <v>2017</v>
      </c>
      <c r="D32" s="149">
        <f t="shared" si="3"/>
        <v>1.0881625309243572</v>
      </c>
      <c r="E32" s="149">
        <f>F18/E18</f>
        <v>1.0171911260912807</v>
      </c>
      <c r="F32" s="54"/>
      <c r="G32" s="54"/>
      <c r="H32" s="54"/>
      <c r="I32" s="54"/>
      <c r="J32" s="54"/>
    </row>
    <row r="33" spans="1:10">
      <c r="A33" s="197"/>
      <c r="B33" s="197"/>
      <c r="C33" s="199">
        <v>2018</v>
      </c>
      <c r="D33" s="149">
        <f>E19/D19</f>
        <v>1.0918047304527507</v>
      </c>
      <c r="E33" s="54"/>
      <c r="F33" s="54"/>
      <c r="G33" s="54"/>
      <c r="H33" s="54"/>
      <c r="I33" s="54"/>
      <c r="J33" s="54"/>
    </row>
    <row r="34" spans="1:10">
      <c r="A34" s="49"/>
      <c r="B34" s="49"/>
      <c r="C34" s="54"/>
      <c r="D34" s="54"/>
      <c r="E34" s="54"/>
      <c r="F34" s="54"/>
      <c r="G34" s="35"/>
      <c r="H34" s="54"/>
      <c r="I34" s="54"/>
      <c r="J34" s="54"/>
    </row>
    <row r="35" spans="1:10">
      <c r="A35" s="197"/>
      <c r="B35" s="197"/>
      <c r="C35" s="197" t="s">
        <v>266</v>
      </c>
      <c r="D35" s="54">
        <f>D33</f>
        <v>1.0918047304527507</v>
      </c>
      <c r="E35" s="54">
        <f>E32</f>
        <v>1.0171911260912807</v>
      </c>
      <c r="F35" s="54">
        <f>F31</f>
        <v>1.0050967913381803</v>
      </c>
      <c r="G35" s="54">
        <f>G30</f>
        <v>1.0029433611240308</v>
      </c>
      <c r="H35" s="54">
        <f>H29</f>
        <v>1.0013855884443359</v>
      </c>
      <c r="I35" s="54"/>
      <c r="J35" s="54"/>
    </row>
    <row r="36" spans="1:10">
      <c r="A36" s="197"/>
      <c r="B36" s="197"/>
      <c r="C36" s="197" t="s">
        <v>21</v>
      </c>
      <c r="D36" s="54">
        <f t="shared" ref="D36:G36" si="4">D35*E36</f>
        <v>1.1269441161214746</v>
      </c>
      <c r="E36" s="54">
        <f t="shared" si="4"/>
        <v>1.0321846798137175</v>
      </c>
      <c r="F36" s="54">
        <f t="shared" si="4"/>
        <v>1.0147401538785066</v>
      </c>
      <c r="G36" s="54">
        <f t="shared" si="4"/>
        <v>1.0095944615716932</v>
      </c>
      <c r="H36" s="54">
        <f>H35*I36</f>
        <v>1.0066315813090465</v>
      </c>
      <c r="I36" s="418">
        <v>1.0052387341352298</v>
      </c>
      <c r="J36" s="54"/>
    </row>
    <row r="37" spans="1:10">
      <c r="A37" s="197"/>
      <c r="B37" s="197"/>
      <c r="C37" s="197"/>
      <c r="D37" s="197"/>
      <c r="E37" s="197"/>
      <c r="F37" s="197"/>
      <c r="G37" s="197"/>
      <c r="H37" s="197"/>
      <c r="I37" s="197"/>
      <c r="J37" s="338"/>
    </row>
    <row r="38" spans="1:10">
      <c r="A38" s="197"/>
      <c r="B38" s="197"/>
      <c r="C38" s="197"/>
      <c r="D38" s="198"/>
      <c r="E38" s="198"/>
      <c r="F38" s="198"/>
      <c r="G38" s="198"/>
      <c r="H38" s="198"/>
      <c r="I38" s="198"/>
      <c r="J38" s="341"/>
    </row>
    <row r="39" spans="1:10">
      <c r="A39" s="197"/>
      <c r="B39" s="197"/>
      <c r="C39" s="197" t="s">
        <v>267</v>
      </c>
      <c r="D39" s="143">
        <v>2019</v>
      </c>
      <c r="E39" s="143">
        <v>2018</v>
      </c>
      <c r="F39" s="143">
        <v>2017</v>
      </c>
      <c r="G39" s="143">
        <v>2016</v>
      </c>
      <c r="H39" s="143">
        <v>2015</v>
      </c>
      <c r="I39" s="143">
        <v>2014</v>
      </c>
      <c r="J39" s="143"/>
    </row>
    <row r="40" spans="1:10">
      <c r="A40" s="197"/>
      <c r="B40" s="197"/>
      <c r="C40" s="197" t="s">
        <v>268</v>
      </c>
      <c r="D40" s="144">
        <f>D36*D20</f>
        <v>156389.41582652539</v>
      </c>
      <c r="E40" s="144">
        <f>E36*E19</f>
        <v>152706.56245504043</v>
      </c>
      <c r="F40" s="144">
        <f>F36*F18</f>
        <v>149443.82668214929</v>
      </c>
      <c r="G40" s="144">
        <f>G36*G17</f>
        <v>148922.25024305575</v>
      </c>
      <c r="H40" s="144">
        <f>H36*H16</f>
        <v>145435.11097278711</v>
      </c>
      <c r="I40" s="144">
        <v>140214.7195921184</v>
      </c>
      <c r="J40" s="144"/>
    </row>
    <row r="41" spans="1:10">
      <c r="A41" s="197"/>
      <c r="B41" s="197"/>
      <c r="C41" s="197"/>
      <c r="D41" s="145"/>
      <c r="E41" s="145"/>
      <c r="F41" s="145"/>
      <c r="G41" s="145"/>
      <c r="H41" s="145"/>
      <c r="I41" s="145"/>
      <c r="J41" s="145"/>
    </row>
    <row r="42" spans="1:10">
      <c r="A42" s="537" t="s">
        <v>269</v>
      </c>
      <c r="B42" s="537"/>
      <c r="C42" s="537"/>
      <c r="D42" s="537"/>
      <c r="E42" s="537"/>
      <c r="F42" s="537"/>
      <c r="G42" s="537"/>
      <c r="H42" s="537"/>
      <c r="I42" s="537"/>
      <c r="J42" s="337"/>
    </row>
    <row r="43" spans="1:10">
      <c r="A43" s="197"/>
      <c r="B43" s="197"/>
      <c r="C43" s="197"/>
      <c r="D43" s="197"/>
      <c r="E43" s="197"/>
      <c r="F43" s="197"/>
      <c r="G43" s="197"/>
      <c r="H43" s="197"/>
      <c r="I43" s="197"/>
      <c r="J43" s="338"/>
    </row>
    <row r="44" spans="1:10">
      <c r="A44" s="197"/>
      <c r="B44" s="197"/>
      <c r="C44" s="199" t="s">
        <v>203</v>
      </c>
      <c r="D44" s="538"/>
      <c r="E44" s="538"/>
      <c r="F44" s="538"/>
      <c r="G44" s="538"/>
      <c r="H44" s="538"/>
      <c r="I44" s="538"/>
      <c r="J44" s="343"/>
    </row>
    <row r="45" spans="1:10">
      <c r="A45" s="197"/>
      <c r="B45" s="199"/>
      <c r="C45" s="26" t="s">
        <v>8</v>
      </c>
      <c r="D45" s="79">
        <v>15</v>
      </c>
      <c r="E45" s="79">
        <v>27</v>
      </c>
      <c r="F45" s="79">
        <v>39</v>
      </c>
      <c r="G45" s="79">
        <v>51</v>
      </c>
      <c r="H45" s="79">
        <v>63</v>
      </c>
      <c r="I45" s="79">
        <v>75</v>
      </c>
      <c r="J45" s="79"/>
    </row>
    <row r="46" spans="1:10" ht="3.6" customHeight="1">
      <c r="A46" s="197"/>
      <c r="B46" s="197"/>
      <c r="C46" s="197"/>
      <c r="D46" s="197"/>
      <c r="E46" s="197"/>
      <c r="F46" s="197"/>
      <c r="G46" s="197"/>
      <c r="H46" s="197"/>
      <c r="I46" s="197"/>
      <c r="J46" s="338"/>
    </row>
    <row r="47" spans="1:10">
      <c r="A47" s="197"/>
      <c r="B47" s="199"/>
      <c r="C47" s="199">
        <v>2011</v>
      </c>
      <c r="D47" s="417"/>
      <c r="E47" s="417"/>
      <c r="F47" s="417"/>
      <c r="G47" s="417"/>
      <c r="H47" s="417"/>
      <c r="I47" s="417">
        <v>104094.20963208308</v>
      </c>
      <c r="J47" s="75"/>
    </row>
    <row r="48" spans="1:10">
      <c r="A48" s="197"/>
      <c r="B48" s="199"/>
      <c r="C48" s="199">
        <v>2012</v>
      </c>
      <c r="D48" s="417"/>
      <c r="E48" s="417"/>
      <c r="F48" s="417"/>
      <c r="G48" s="417"/>
      <c r="H48" s="417">
        <v>105308.43947775295</v>
      </c>
      <c r="I48" s="417">
        <v>111792.27160281737</v>
      </c>
      <c r="J48" s="75"/>
    </row>
    <row r="49" spans="1:11">
      <c r="A49" s="197"/>
      <c r="B49" s="197"/>
      <c r="C49" s="199">
        <v>2013</v>
      </c>
      <c r="D49" s="417"/>
      <c r="E49" s="417"/>
      <c r="F49" s="417"/>
      <c r="G49" s="417">
        <v>104691.3803790541</v>
      </c>
      <c r="H49" s="417">
        <v>114901.11285212281</v>
      </c>
      <c r="I49" s="417">
        <v>121142</v>
      </c>
      <c r="J49" s="75"/>
    </row>
    <row r="50" spans="1:11">
      <c r="A50" s="197"/>
      <c r="B50" s="197"/>
      <c r="C50" s="199">
        <v>2014</v>
      </c>
      <c r="D50" s="417"/>
      <c r="E50" s="417"/>
      <c r="F50" s="417">
        <v>95260.294284708754</v>
      </c>
      <c r="G50" s="417">
        <v>111744.81544593677</v>
      </c>
      <c r="H50" s="417">
        <v>121808</v>
      </c>
      <c r="I50" s="417">
        <v>127800</v>
      </c>
      <c r="J50" s="75"/>
    </row>
    <row r="51" spans="1:11">
      <c r="A51" s="197"/>
      <c r="B51" s="197"/>
      <c r="C51" s="199">
        <v>2015</v>
      </c>
      <c r="D51" s="417"/>
      <c r="E51" s="417">
        <v>77962.835862576409</v>
      </c>
      <c r="F51" s="417">
        <v>102950.70696733307</v>
      </c>
      <c r="G51" s="417">
        <v>119252.00000000001</v>
      </c>
      <c r="H51" s="417">
        <v>128566</v>
      </c>
      <c r="I51" s="417"/>
      <c r="J51" s="75"/>
    </row>
    <row r="52" spans="1:11">
      <c r="A52" s="197"/>
      <c r="B52" s="197"/>
      <c r="C52" s="199">
        <v>2016</v>
      </c>
      <c r="D52" s="417">
        <v>46802.249835742441</v>
      </c>
      <c r="E52" s="417">
        <v>83512.537012702582</v>
      </c>
      <c r="F52" s="417">
        <v>109302</v>
      </c>
      <c r="G52" s="417">
        <v>124497</v>
      </c>
      <c r="H52" s="417"/>
      <c r="I52" s="417"/>
      <c r="J52" s="75"/>
    </row>
    <row r="53" spans="1:11">
      <c r="A53" s="197"/>
      <c r="B53" s="197"/>
      <c r="C53" s="199">
        <v>2017</v>
      </c>
      <c r="D53" s="417">
        <v>50699.166296916737</v>
      </c>
      <c r="E53" s="417">
        <v>88131</v>
      </c>
      <c r="F53" s="417">
        <v>112161</v>
      </c>
      <c r="G53" s="417"/>
      <c r="H53" s="417"/>
      <c r="I53" s="417" t="s">
        <v>34</v>
      </c>
      <c r="J53" s="75"/>
    </row>
    <row r="54" spans="1:11">
      <c r="A54" s="197"/>
      <c r="B54" s="197"/>
      <c r="C54" s="199">
        <v>2018</v>
      </c>
      <c r="D54" s="417">
        <v>52569</v>
      </c>
      <c r="E54" s="417">
        <v>90050</v>
      </c>
      <c r="F54" s="417"/>
      <c r="G54" s="417"/>
      <c r="H54" s="417" t="s">
        <v>34</v>
      </c>
      <c r="I54" s="417" t="s">
        <v>34</v>
      </c>
      <c r="J54" s="75"/>
    </row>
    <row r="55" spans="1:11">
      <c r="A55" s="197"/>
      <c r="B55" s="197"/>
      <c r="C55" s="199">
        <v>2019</v>
      </c>
      <c r="D55" s="417">
        <v>53895</v>
      </c>
      <c r="E55" s="417"/>
      <c r="F55" s="417"/>
      <c r="G55" s="417" t="s">
        <v>34</v>
      </c>
      <c r="H55" s="417" t="s">
        <v>34</v>
      </c>
      <c r="I55" s="417" t="s">
        <v>34</v>
      </c>
      <c r="J55" s="75"/>
    </row>
    <row r="56" spans="1:11">
      <c r="A56" s="197"/>
      <c r="B56" s="197"/>
      <c r="C56" s="199"/>
      <c r="D56" s="197"/>
      <c r="E56" s="197"/>
      <c r="F56" s="197"/>
      <c r="G56" s="197"/>
      <c r="H56" s="197"/>
      <c r="I56" s="197"/>
      <c r="J56" s="338"/>
    </row>
    <row r="57" spans="1:11">
      <c r="A57" s="197"/>
      <c r="B57" s="536" t="s">
        <v>287</v>
      </c>
      <c r="C57" s="536"/>
      <c r="D57" s="536"/>
      <c r="E57" s="536"/>
      <c r="F57" s="536"/>
      <c r="G57" s="536"/>
      <c r="H57" s="536"/>
      <c r="I57" s="536"/>
      <c r="J57" s="338"/>
    </row>
    <row r="58" spans="1:11" ht="45" customHeight="1">
      <c r="A58" s="10"/>
      <c r="B58" s="10"/>
      <c r="C58" s="10"/>
      <c r="D58" s="10"/>
      <c r="E58" s="10"/>
      <c r="F58" s="10"/>
      <c r="G58" s="10"/>
      <c r="H58" s="10"/>
      <c r="I58" s="10"/>
      <c r="J58" s="338"/>
      <c r="K58" s="148" t="s">
        <v>385</v>
      </c>
    </row>
    <row r="59" spans="1:11" s="197" customFormat="1" ht="13.15">
      <c r="A59" s="279" t="s">
        <v>31</v>
      </c>
      <c r="B59" s="279"/>
      <c r="C59" s="279"/>
      <c r="D59" s="279"/>
      <c r="E59" s="279"/>
      <c r="F59" s="279"/>
      <c r="G59" s="279"/>
      <c r="H59" s="279"/>
      <c r="I59" s="279"/>
      <c r="J59" s="279"/>
      <c r="K59" s="279"/>
    </row>
    <row r="60" spans="1:11" s="197" customFormat="1" ht="13.15">
      <c r="A60" s="279" t="s">
        <v>262</v>
      </c>
      <c r="B60" s="279"/>
      <c r="C60" s="279"/>
      <c r="D60" s="279"/>
      <c r="E60" s="279"/>
      <c r="F60" s="279"/>
      <c r="G60" s="279"/>
      <c r="H60" s="279"/>
      <c r="I60" s="279"/>
      <c r="J60" s="279"/>
      <c r="K60" s="279"/>
    </row>
    <row r="61" spans="1:11" s="197" customFormat="1" ht="13.15">
      <c r="A61" s="279" t="s">
        <v>263</v>
      </c>
      <c r="B61" s="279"/>
      <c r="C61" s="279"/>
      <c r="D61" s="279"/>
      <c r="E61" s="279"/>
      <c r="F61" s="279"/>
      <c r="G61" s="279"/>
      <c r="H61" s="279"/>
      <c r="I61" s="279"/>
      <c r="J61" s="279"/>
      <c r="K61" s="279"/>
    </row>
    <row r="62" spans="1:11" s="197" customFormat="1" ht="13.15">
      <c r="A62" s="195"/>
      <c r="B62" s="195"/>
      <c r="C62" s="195"/>
      <c r="D62" s="195"/>
      <c r="E62" s="195"/>
      <c r="F62" s="195"/>
      <c r="G62" s="195"/>
      <c r="H62" s="195"/>
      <c r="I62" s="195"/>
      <c r="J62" s="340"/>
      <c r="K62" s="195"/>
    </row>
    <row r="63" spans="1:11" s="197" customFormat="1" ht="12.75">
      <c r="J63" s="338"/>
    </row>
    <row r="64" spans="1:11" s="197" customFormat="1" ht="12.75">
      <c r="A64" s="239"/>
      <c r="B64" s="239" t="s">
        <v>312</v>
      </c>
      <c r="C64" s="239"/>
      <c r="D64" s="239"/>
      <c r="E64" s="239"/>
      <c r="F64" s="239"/>
      <c r="G64" s="239"/>
      <c r="H64" s="239"/>
      <c r="I64" s="239"/>
      <c r="J64" s="337"/>
    </row>
    <row r="65" spans="1:11" s="197" customFormat="1" ht="12.75">
      <c r="J65" s="338"/>
    </row>
    <row r="66" spans="1:11" s="197" customFormat="1" ht="12.75">
      <c r="C66" s="199" t="s">
        <v>203</v>
      </c>
      <c r="D66" s="533"/>
      <c r="E66" s="533"/>
      <c r="F66" s="533"/>
      <c r="G66" s="533"/>
      <c r="H66" s="533"/>
      <c r="I66" s="533"/>
      <c r="J66" s="341"/>
    </row>
    <row r="67" spans="1:11" s="197" customFormat="1" ht="12.75">
      <c r="C67" s="26" t="s">
        <v>8</v>
      </c>
      <c r="D67" s="79">
        <v>15</v>
      </c>
      <c r="E67" s="79">
        <v>27</v>
      </c>
      <c r="F67" s="79">
        <v>39</v>
      </c>
      <c r="G67" s="79">
        <v>51</v>
      </c>
      <c r="H67" s="79">
        <v>63</v>
      </c>
      <c r="I67" s="79">
        <v>75</v>
      </c>
      <c r="J67" s="79"/>
      <c r="K67" s="26"/>
    </row>
    <row r="68" spans="1:11" s="197" customFormat="1" ht="4.5" customHeight="1">
      <c r="J68" s="338"/>
    </row>
    <row r="69" spans="1:11" s="197" customFormat="1" ht="12.75">
      <c r="C69" s="199">
        <v>2011</v>
      </c>
      <c r="D69" s="146"/>
      <c r="E69" s="146"/>
      <c r="F69" s="146"/>
      <c r="G69" s="333"/>
      <c r="H69" s="333"/>
      <c r="I69" s="333">
        <v>0.87746372433185238</v>
      </c>
      <c r="J69" s="146"/>
      <c r="K69" s="146"/>
    </row>
    <row r="70" spans="1:11" s="197" customFormat="1" ht="12.75">
      <c r="C70" s="199">
        <v>2012</v>
      </c>
      <c r="D70" s="146"/>
      <c r="E70" s="146"/>
      <c r="F70" s="146"/>
      <c r="G70" s="333"/>
      <c r="H70" s="333">
        <v>0.83831632142933088</v>
      </c>
      <c r="I70" s="333">
        <v>0.88993138972589991</v>
      </c>
      <c r="J70" s="146"/>
      <c r="K70" s="146"/>
    </row>
    <row r="71" spans="1:11" s="197" customFormat="1" ht="12.75">
      <c r="C71" s="199">
        <v>2013</v>
      </c>
      <c r="D71" s="146"/>
      <c r="E71" s="146"/>
      <c r="F71" s="146"/>
      <c r="G71" s="333">
        <v>0.78058603120173775</v>
      </c>
      <c r="H71" s="333">
        <v>0.85671048884026468</v>
      </c>
      <c r="I71" s="333">
        <v>0.90324296660778536</v>
      </c>
      <c r="J71" s="146"/>
      <c r="K71" s="146"/>
    </row>
    <row r="72" spans="1:11" s="197" customFormat="1" ht="12.75">
      <c r="C72" s="199">
        <v>2014</v>
      </c>
      <c r="D72" s="146"/>
      <c r="E72" s="146"/>
      <c r="F72" s="146">
        <f t="shared" ref="D72:I77" si="5">F50/HLOOKUP($C72,$D$39:$I$40,2,FALSE)</f>
        <v>0.67938868730628921</v>
      </c>
      <c r="G72" s="146">
        <f t="shared" si="5"/>
        <v>0.79695495430864904</v>
      </c>
      <c r="H72" s="146">
        <f t="shared" si="5"/>
        <v>0.8687247697983268</v>
      </c>
      <c r="I72" s="146">
        <f t="shared" si="5"/>
        <v>0.91145922747460073</v>
      </c>
      <c r="J72" s="146"/>
    </row>
    <row r="73" spans="1:11" s="197" customFormat="1" ht="12.75">
      <c r="C73" s="199">
        <v>2015</v>
      </c>
      <c r="D73" s="146"/>
      <c r="E73" s="146">
        <f t="shared" si="5"/>
        <v>0.53606612145511623</v>
      </c>
      <c r="F73" s="146">
        <f t="shared" si="5"/>
        <v>0.70788069179935886</v>
      </c>
      <c r="G73" s="146">
        <f t="shared" si="5"/>
        <v>0.81996705748939602</v>
      </c>
      <c r="H73" s="146">
        <f t="shared" si="5"/>
        <v>0.88400936431407162</v>
      </c>
      <c r="I73" s="146"/>
      <c r="J73" s="146"/>
    </row>
    <row r="74" spans="1:11" s="197" customFormat="1" ht="12.75">
      <c r="C74" s="199">
        <v>2016</v>
      </c>
      <c r="D74" s="146">
        <f t="shared" si="5"/>
        <v>0.31427305026184177</v>
      </c>
      <c r="E74" s="146">
        <f t="shared" si="5"/>
        <v>0.56077944616336317</v>
      </c>
      <c r="F74" s="146">
        <f t="shared" si="5"/>
        <v>0.73395345438044612</v>
      </c>
      <c r="G74" s="146">
        <f t="shared" si="5"/>
        <v>0.83598656209403666</v>
      </c>
      <c r="H74" s="146"/>
      <c r="I74" s="146"/>
      <c r="J74" s="146"/>
    </row>
    <row r="75" spans="1:11" s="197" customFormat="1" ht="12.75">
      <c r="C75" s="199">
        <v>2017</v>
      </c>
      <c r="D75" s="146">
        <f t="shared" si="5"/>
        <v>0.33925232926983551</v>
      </c>
      <c r="E75" s="146">
        <f t="shared" si="5"/>
        <v>0.58972660133660137</v>
      </c>
      <c r="F75" s="146">
        <f t="shared" si="5"/>
        <v>0.75052280505740931</v>
      </c>
      <c r="G75" s="146"/>
      <c r="H75" s="146"/>
      <c r="I75" s="146"/>
      <c r="J75" s="146"/>
    </row>
    <row r="76" spans="1:11" s="197" customFormat="1" ht="12.75">
      <c r="C76" s="199">
        <v>2018</v>
      </c>
      <c r="D76" s="146">
        <f t="shared" si="5"/>
        <v>0.34424846682982119</v>
      </c>
      <c r="E76" s="146">
        <f t="shared" si="5"/>
        <v>0.58969305937007355</v>
      </c>
      <c r="F76" s="146"/>
      <c r="G76" s="146"/>
      <c r="H76" s="146"/>
      <c r="I76" s="146"/>
      <c r="J76" s="146"/>
    </row>
    <row r="77" spans="1:11" s="197" customFormat="1" ht="12.75">
      <c r="C77" s="199">
        <v>2019</v>
      </c>
      <c r="D77" s="146">
        <f t="shared" si="5"/>
        <v>0.34462050846064229</v>
      </c>
      <c r="E77" s="146"/>
      <c r="F77" s="146"/>
      <c r="G77" s="146"/>
      <c r="H77" s="146"/>
      <c r="I77" s="146"/>
      <c r="J77" s="146"/>
    </row>
    <row r="78" spans="1:11" s="197" customFormat="1" ht="12.75">
      <c r="C78" s="199"/>
      <c r="D78" s="146"/>
      <c r="E78" s="146"/>
      <c r="F78" s="146"/>
      <c r="G78" s="146"/>
      <c r="H78" s="146"/>
      <c r="I78" s="146"/>
      <c r="J78" s="146"/>
    </row>
    <row r="79" spans="1:11" s="197" customFormat="1" ht="12.75">
      <c r="A79" s="239"/>
      <c r="B79" s="239" t="s">
        <v>313</v>
      </c>
      <c r="C79" s="239"/>
      <c r="D79" s="239"/>
      <c r="E79" s="239"/>
      <c r="F79" s="239"/>
      <c r="G79" s="239"/>
      <c r="H79" s="239"/>
      <c r="I79" s="239"/>
      <c r="J79" s="239"/>
      <c r="K79" s="239"/>
    </row>
    <row r="80" spans="1:11" s="197" customFormat="1" ht="12.75">
      <c r="J80" s="338"/>
    </row>
    <row r="81" spans="1:10" s="197" customFormat="1" ht="12.75">
      <c r="C81" s="199" t="s">
        <v>203</v>
      </c>
      <c r="D81" s="533"/>
      <c r="E81" s="533"/>
      <c r="F81" s="533"/>
      <c r="G81" s="533"/>
      <c r="H81" s="533"/>
      <c r="I81" s="533"/>
      <c r="J81" s="341"/>
    </row>
    <row r="82" spans="1:10" s="197" customFormat="1" ht="12.75">
      <c r="C82" s="26" t="s">
        <v>8</v>
      </c>
      <c r="D82" s="79">
        <v>15</v>
      </c>
      <c r="E82" s="79">
        <v>27</v>
      </c>
      <c r="F82" s="79">
        <v>39</v>
      </c>
      <c r="G82" s="79">
        <v>51</v>
      </c>
      <c r="H82" s="79">
        <v>63</v>
      </c>
      <c r="I82" s="79">
        <v>75</v>
      </c>
      <c r="J82" s="79"/>
    </row>
    <row r="83" spans="1:10" s="197" customFormat="1" ht="4.5" customHeight="1">
      <c r="J83" s="338"/>
    </row>
    <row r="84" spans="1:10" s="197" customFormat="1" ht="12.75">
      <c r="C84" s="199">
        <v>2011</v>
      </c>
      <c r="D84" s="147"/>
      <c r="E84" s="147"/>
      <c r="F84" s="147"/>
      <c r="G84" s="419"/>
      <c r="H84" s="419"/>
      <c r="I84" s="419">
        <v>108127.12282559881</v>
      </c>
      <c r="J84" s="147"/>
    </row>
    <row r="85" spans="1:10" s="197" customFormat="1" ht="12.75">
      <c r="C85" s="199">
        <v>2012</v>
      </c>
      <c r="D85" s="147"/>
      <c r="E85" s="147"/>
      <c r="F85" s="147"/>
      <c r="G85" s="419"/>
      <c r="H85" s="419">
        <v>111048.35282332382</v>
      </c>
      <c r="I85" s="419">
        <v>114496.57657779461</v>
      </c>
      <c r="J85" s="147"/>
    </row>
    <row r="86" spans="1:10" s="197" customFormat="1" ht="12.75">
      <c r="C86" s="199">
        <v>2013</v>
      </c>
      <c r="D86" s="147"/>
      <c r="E86" s="147"/>
      <c r="F86" s="147"/>
      <c r="G86" s="419">
        <v>112121.64151749386</v>
      </c>
      <c r="H86" s="419">
        <v>118562.40941894561</v>
      </c>
      <c r="I86" s="419">
        <v>122243.95629606264</v>
      </c>
      <c r="J86" s="147"/>
    </row>
    <row r="87" spans="1:10" s="197" customFormat="1" ht="12.75">
      <c r="C87" s="199">
        <v>2014</v>
      </c>
      <c r="D87" s="147"/>
      <c r="E87" s="147"/>
      <c r="F87" s="147">
        <f t="shared" ref="F87:F90" si="6">HLOOKUP($C87,$D$39:$I$40,2,FALSE)*F$75</f>
        <v>105234.34465861479</v>
      </c>
      <c r="G87" s="147">
        <f>HLOOKUP($C87,$D$39:$I$40,2,FALSE)*G$74</f>
        <v>117217.62138679443</v>
      </c>
      <c r="H87" s="147">
        <f>HLOOKUP($C87,$D$39:$I$40,2,FALSE)*H$73</f>
        <v>123951.1251341044</v>
      </c>
      <c r="I87" s="147">
        <f>HLOOKUP($C87,$D$39:$I$40,2,FALSE)*I$72</f>
        <v>127800</v>
      </c>
      <c r="J87" s="147"/>
    </row>
    <row r="88" spans="1:10" s="197" customFormat="1" ht="12.75">
      <c r="C88" s="199">
        <v>2015</v>
      </c>
      <c r="D88" s="147"/>
      <c r="E88" s="147">
        <f>HLOOKUP($C88,$D$39:$I$40,2,FALSE)*E$76</f>
        <v>85762.075529368987</v>
      </c>
      <c r="F88" s="147">
        <f t="shared" si="6"/>
        <v>109152.36744113179</v>
      </c>
      <c r="G88" s="147">
        <f>HLOOKUP($C88,$D$39:$I$40,2,FALSE)*G$74</f>
        <v>121581.798429905</v>
      </c>
      <c r="H88" s="147">
        <f>HLOOKUP($C88,$D$39:$I$40,2,FALSE)*H$73</f>
        <v>128566</v>
      </c>
      <c r="I88" s="147"/>
      <c r="J88" s="147"/>
    </row>
    <row r="89" spans="1:10" s="197" customFormat="1" ht="12.75">
      <c r="C89" s="199">
        <v>2016</v>
      </c>
      <c r="D89" s="147">
        <f t="shared" ref="D89:D92" si="7">HLOOKUP($C89,$D$39:$I$40,2,FALSE)*D$77</f>
        <v>51321.661599864885</v>
      </c>
      <c r="E89" s="147">
        <f t="shared" ref="E89:E91" si="8">HLOOKUP($C89,$D$39:$I$40,2,FALSE)*E$76</f>
        <v>87818.417354103221</v>
      </c>
      <c r="F89" s="147">
        <f t="shared" si="6"/>
        <v>111769.54498787966</v>
      </c>
      <c r="G89" s="147">
        <f>HLOOKUP($C89,$D$39:$I$40,2,FALSE)*G$74</f>
        <v>124496.99999999999</v>
      </c>
      <c r="H89" s="147"/>
      <c r="I89" s="147"/>
      <c r="J89" s="147"/>
    </row>
    <row r="90" spans="1:10" s="197" customFormat="1" ht="12.75">
      <c r="C90" s="199">
        <v>2017</v>
      </c>
      <c r="D90" s="147">
        <f t="shared" si="7"/>
        <v>51501.407537506391</v>
      </c>
      <c r="E90" s="147">
        <f t="shared" si="8"/>
        <v>88125.987360167637</v>
      </c>
      <c r="F90" s="147">
        <f t="shared" si="6"/>
        <v>112161</v>
      </c>
      <c r="G90" s="147"/>
      <c r="H90" s="147"/>
      <c r="I90" s="147"/>
      <c r="J90" s="147"/>
    </row>
    <row r="91" spans="1:10" s="197" customFormat="1" ht="12.75">
      <c r="C91" s="199">
        <v>2018</v>
      </c>
      <c r="D91" s="147">
        <f t="shared" si="7"/>
        <v>52625.813198532865</v>
      </c>
      <c r="E91" s="147">
        <f t="shared" si="8"/>
        <v>90050</v>
      </c>
      <c r="F91" s="147"/>
      <c r="G91" s="147"/>
      <c r="H91" s="147"/>
      <c r="I91" s="147"/>
      <c r="J91" s="147"/>
    </row>
    <row r="92" spans="1:10" s="197" customFormat="1" ht="12.75">
      <c r="C92" s="199">
        <v>2019</v>
      </c>
      <c r="D92" s="147">
        <f t="shared" si="7"/>
        <v>53895</v>
      </c>
      <c r="E92" s="147"/>
      <c r="F92" s="147"/>
      <c r="G92" s="147"/>
      <c r="H92" s="147"/>
      <c r="I92" s="147"/>
      <c r="J92" s="147"/>
    </row>
    <row r="93" spans="1:10" s="197" customFormat="1" ht="12.75">
      <c r="C93" s="199"/>
      <c r="D93" s="147"/>
      <c r="E93" s="147"/>
      <c r="F93" s="147"/>
      <c r="G93" s="147"/>
      <c r="H93" s="147"/>
      <c r="I93" s="147"/>
      <c r="J93" s="147"/>
    </row>
    <row r="94" spans="1:10" s="197" customFormat="1" ht="12.75">
      <c r="A94" s="239"/>
      <c r="B94" s="239" t="s">
        <v>270</v>
      </c>
      <c r="C94" s="239"/>
      <c r="D94" s="239"/>
      <c r="E94" s="239"/>
      <c r="F94" s="239"/>
      <c r="G94" s="239"/>
      <c r="H94" s="239"/>
      <c r="I94" s="239"/>
      <c r="J94" s="337"/>
    </row>
    <row r="95" spans="1:10" s="197" customFormat="1" ht="12.75">
      <c r="J95" s="338"/>
    </row>
    <row r="96" spans="1:10" s="197" customFormat="1" ht="12.75">
      <c r="C96" s="199" t="s">
        <v>203</v>
      </c>
      <c r="D96" s="533"/>
      <c r="E96" s="533"/>
      <c r="F96" s="533"/>
      <c r="G96" s="533"/>
      <c r="H96" s="533"/>
      <c r="I96" s="533"/>
      <c r="J96" s="341"/>
    </row>
    <row r="97" spans="1:11" s="197" customFormat="1" ht="12.75">
      <c r="C97" s="26" t="s">
        <v>8</v>
      </c>
      <c r="D97" s="79">
        <v>15</v>
      </c>
      <c r="E97" s="79">
        <v>27</v>
      </c>
      <c r="F97" s="79">
        <v>39</v>
      </c>
      <c r="G97" s="79">
        <v>51</v>
      </c>
      <c r="H97" s="79">
        <v>63</v>
      </c>
      <c r="I97" s="79">
        <v>75</v>
      </c>
      <c r="J97" s="79"/>
    </row>
    <row r="98" spans="1:11" s="197" customFormat="1" ht="4.5" customHeight="1">
      <c r="J98" s="338"/>
    </row>
    <row r="99" spans="1:11" s="197" customFormat="1" ht="12.75">
      <c r="C99" s="199">
        <v>2011</v>
      </c>
      <c r="D99" s="419"/>
      <c r="E99" s="419"/>
      <c r="F99" s="419"/>
      <c r="G99" s="419"/>
      <c r="H99" s="419"/>
      <c r="I99" s="419">
        <v>17297.457136397177</v>
      </c>
      <c r="J99" s="147"/>
    </row>
    <row r="100" spans="1:11" s="197" customFormat="1" ht="12.75">
      <c r="C100" s="199">
        <v>2012</v>
      </c>
      <c r="D100" s="419"/>
      <c r="E100" s="419"/>
      <c r="F100" s="419"/>
      <c r="G100" s="419"/>
      <c r="H100" s="419">
        <v>15578.670470323032</v>
      </c>
      <c r="I100" s="419">
        <v>17330.554120223642</v>
      </c>
      <c r="J100" s="147"/>
    </row>
    <row r="101" spans="1:11" s="197" customFormat="1" ht="12.75">
      <c r="C101" s="199">
        <v>2013</v>
      </c>
      <c r="D101" s="419"/>
      <c r="E101" s="419"/>
      <c r="F101" s="419"/>
      <c r="G101" s="419">
        <v>13643.708354271348</v>
      </c>
      <c r="H101" s="419">
        <v>15851.279409528188</v>
      </c>
      <c r="I101" s="419">
        <v>17379.186458866454</v>
      </c>
      <c r="J101" s="147"/>
    </row>
    <row r="102" spans="1:11" s="197" customFormat="1" ht="12.75">
      <c r="C102" s="199">
        <v>2014</v>
      </c>
      <c r="D102" s="419"/>
      <c r="E102" s="419"/>
      <c r="F102" s="419">
        <v>11149.335146529587</v>
      </c>
      <c r="G102" s="419">
        <v>14512.667392913683</v>
      </c>
      <c r="H102" s="419">
        <v>16765.924003349533</v>
      </c>
      <c r="I102" s="419">
        <v>18241.557222222222</v>
      </c>
      <c r="J102" s="147"/>
    </row>
    <row r="103" spans="1:11" s="197" customFormat="1" ht="12.75">
      <c r="C103" s="199">
        <v>2015</v>
      </c>
      <c r="D103" s="419"/>
      <c r="E103" s="419">
        <v>7359.3195180811144</v>
      </c>
      <c r="F103" s="419">
        <v>11875.367100723224</v>
      </c>
      <c r="G103" s="419">
        <v>15192.310485358734</v>
      </c>
      <c r="H103" s="419">
        <v>17256.3295194686</v>
      </c>
      <c r="I103" s="419"/>
      <c r="J103" s="147"/>
    </row>
    <row r="104" spans="1:11" s="197" customFormat="1" ht="12.75">
      <c r="C104" s="199">
        <v>2016</v>
      </c>
      <c r="D104" s="419">
        <v>3251.5961015842536</v>
      </c>
      <c r="E104" s="419">
        <v>7699.4491719103253</v>
      </c>
      <c r="F104" s="419">
        <v>12004.539944374303</v>
      </c>
      <c r="G104" s="419">
        <v>15085.497513996321</v>
      </c>
      <c r="H104" s="419"/>
      <c r="I104" s="419"/>
      <c r="J104" s="147"/>
    </row>
    <row r="105" spans="1:11" s="197" customFormat="1" ht="12.75">
      <c r="C105" s="199">
        <v>2017</v>
      </c>
      <c r="D105" s="419">
        <v>3341.1855040915116</v>
      </c>
      <c r="E105" s="419">
        <v>7784.6669276418061</v>
      </c>
      <c r="F105" s="419">
        <v>12016.533679264629</v>
      </c>
      <c r="G105" s="419"/>
      <c r="H105" s="419"/>
      <c r="I105" s="419"/>
      <c r="J105" s="147"/>
    </row>
    <row r="106" spans="1:11" s="197" customFormat="1" ht="12.75">
      <c r="C106" s="199">
        <v>2018</v>
      </c>
      <c r="D106" s="419">
        <v>3566.0927352622266</v>
      </c>
      <c r="E106" s="419">
        <v>8204.2704941699049</v>
      </c>
      <c r="F106" s="419"/>
      <c r="G106" s="419"/>
      <c r="H106" s="419"/>
      <c r="I106" s="419"/>
      <c r="J106" s="147"/>
    </row>
    <row r="107" spans="1:11" s="197" customFormat="1" ht="12.75">
      <c r="C107" s="199">
        <v>2019</v>
      </c>
      <c r="D107" s="419">
        <v>3811.9228314314873</v>
      </c>
      <c r="E107" s="419"/>
      <c r="F107" s="419"/>
      <c r="G107" s="419"/>
      <c r="H107" s="419"/>
      <c r="I107" s="419"/>
      <c r="J107" s="147"/>
    </row>
    <row r="108" spans="1:11" s="197" customFormat="1" ht="12.75">
      <c r="D108" s="147"/>
      <c r="E108" s="147"/>
      <c r="F108" s="147"/>
      <c r="G108" s="147"/>
      <c r="H108" s="147"/>
      <c r="I108" s="147"/>
      <c r="J108" s="147"/>
    </row>
    <row r="109" spans="1:11" s="338" customFormat="1" ht="12.75">
      <c r="D109" s="147"/>
      <c r="E109" s="147"/>
      <c r="F109" s="147"/>
      <c r="G109" s="147"/>
      <c r="H109" s="147"/>
      <c r="I109" s="147"/>
      <c r="J109" s="147"/>
    </row>
    <row r="110" spans="1:11" s="197" customFormat="1" ht="26.25" customHeight="1">
      <c r="A110" s="148" t="s">
        <v>22</v>
      </c>
      <c r="B110" s="534" t="s">
        <v>271</v>
      </c>
      <c r="C110" s="534"/>
      <c r="D110" s="534"/>
      <c r="E110" s="534"/>
      <c r="F110" s="534"/>
      <c r="G110" s="534"/>
      <c r="H110" s="534"/>
      <c r="I110" s="534"/>
      <c r="J110" s="534"/>
      <c r="K110" s="249"/>
    </row>
    <row r="111" spans="1:11" s="197" customFormat="1" ht="39.950000000000003" customHeight="1">
      <c r="A111" s="148" t="s">
        <v>28</v>
      </c>
      <c r="B111" s="534" t="s">
        <v>272</v>
      </c>
      <c r="C111" s="534"/>
      <c r="D111" s="534"/>
      <c r="E111" s="534"/>
      <c r="F111" s="534"/>
      <c r="G111" s="534"/>
      <c r="H111" s="534"/>
      <c r="I111" s="534"/>
      <c r="J111" s="534"/>
      <c r="K111" s="249"/>
    </row>
    <row r="112" spans="1:11" s="197" customFormat="1" ht="12.75">
      <c r="J112" s="338"/>
    </row>
    <row r="113" spans="1:11" s="197" customFormat="1" ht="12.75">
      <c r="B113" s="49" t="s">
        <v>287</v>
      </c>
      <c r="C113" s="342"/>
      <c r="D113" s="342"/>
      <c r="E113" s="342"/>
      <c r="F113" s="342"/>
      <c r="G113" s="342"/>
      <c r="H113" s="342"/>
      <c r="I113" s="342"/>
      <c r="J113" s="342"/>
      <c r="K113" s="342"/>
    </row>
    <row r="114" spans="1:11" ht="45" customHeight="1">
      <c r="A114" s="10"/>
      <c r="B114" s="10"/>
      <c r="C114" s="141"/>
      <c r="D114" s="154"/>
      <c r="E114" s="154"/>
      <c r="F114" s="154"/>
      <c r="G114" s="154"/>
      <c r="H114" s="164"/>
      <c r="I114" s="10"/>
      <c r="J114" s="338"/>
      <c r="K114" s="148" t="s">
        <v>386</v>
      </c>
    </row>
    <row r="115" spans="1:11" s="197" customFormat="1" ht="13.15">
      <c r="A115" s="279" t="s">
        <v>31</v>
      </c>
      <c r="B115" s="279"/>
      <c r="C115" s="279"/>
      <c r="D115" s="279"/>
      <c r="E115" s="279"/>
      <c r="F115" s="279"/>
      <c r="G115" s="279"/>
      <c r="H115" s="279"/>
      <c r="I115" s="279"/>
      <c r="J115" s="279"/>
      <c r="K115" s="279"/>
    </row>
    <row r="116" spans="1:11" s="197" customFormat="1" ht="13.15">
      <c r="A116" s="279" t="s">
        <v>262</v>
      </c>
      <c r="B116" s="279"/>
      <c r="C116" s="279"/>
      <c r="D116" s="279"/>
      <c r="E116" s="279"/>
      <c r="F116" s="279"/>
      <c r="G116" s="279"/>
      <c r="H116" s="279"/>
      <c r="I116" s="279"/>
      <c r="J116" s="279"/>
      <c r="K116" s="279"/>
    </row>
    <row r="117" spans="1:11" s="197" customFormat="1" ht="13.15">
      <c r="A117" s="279" t="s">
        <v>263</v>
      </c>
      <c r="B117" s="279"/>
      <c r="C117" s="279"/>
      <c r="D117" s="279"/>
      <c r="E117" s="279"/>
      <c r="F117" s="279"/>
      <c r="G117" s="279"/>
      <c r="H117" s="279"/>
      <c r="I117" s="279"/>
      <c r="J117" s="279"/>
      <c r="K117" s="279"/>
    </row>
    <row r="118" spans="1:11" s="197" customFormat="1" ht="13.15">
      <c r="A118" s="195"/>
      <c r="B118" s="195"/>
      <c r="C118" s="195"/>
      <c r="D118" s="195"/>
      <c r="E118" s="195"/>
      <c r="F118" s="195"/>
      <c r="G118" s="195"/>
      <c r="H118" s="195"/>
      <c r="I118" s="195"/>
      <c r="J118" s="340"/>
      <c r="K118" s="195"/>
    </row>
    <row r="119" spans="1:11" s="197" customFormat="1" ht="12.75">
      <c r="J119" s="338"/>
    </row>
    <row r="120" spans="1:11" s="197" customFormat="1" ht="12.75">
      <c r="A120" s="239"/>
      <c r="B120" s="239" t="s">
        <v>314</v>
      </c>
      <c r="C120" s="239"/>
      <c r="D120" s="239"/>
      <c r="E120" s="239"/>
      <c r="F120" s="239"/>
      <c r="G120" s="239"/>
      <c r="H120" s="239"/>
      <c r="I120" s="239"/>
      <c r="J120" s="337"/>
    </row>
    <row r="121" spans="1:11" s="197" customFormat="1" ht="12.75">
      <c r="J121" s="338"/>
    </row>
    <row r="122" spans="1:11" s="197" customFormat="1" ht="12.75">
      <c r="C122" s="199" t="s">
        <v>203</v>
      </c>
      <c r="D122" s="533"/>
      <c r="E122" s="533"/>
      <c r="F122" s="533"/>
      <c r="G122" s="533"/>
      <c r="H122" s="533"/>
      <c r="I122" s="533"/>
      <c r="J122" s="341"/>
    </row>
    <row r="123" spans="1:11" s="197" customFormat="1" ht="12.75">
      <c r="C123" s="26" t="s">
        <v>8</v>
      </c>
      <c r="D123" s="79">
        <v>15</v>
      </c>
      <c r="E123" s="79">
        <v>27</v>
      </c>
      <c r="F123" s="79">
        <v>39</v>
      </c>
      <c r="G123" s="79">
        <v>51</v>
      </c>
      <c r="H123" s="79">
        <v>63</v>
      </c>
      <c r="I123" s="79">
        <v>75</v>
      </c>
      <c r="J123" s="79"/>
    </row>
    <row r="124" spans="1:11" s="197" customFormat="1" ht="4.5" customHeight="1">
      <c r="J124" s="338"/>
    </row>
    <row r="125" spans="1:11" s="197" customFormat="1" ht="12.75">
      <c r="C125" s="199">
        <v>2011</v>
      </c>
      <c r="D125" s="147"/>
      <c r="E125" s="147"/>
      <c r="F125" s="147"/>
      <c r="G125" s="147"/>
      <c r="H125" s="147"/>
      <c r="I125" s="419">
        <v>18588.612056210462</v>
      </c>
      <c r="J125" s="147"/>
    </row>
    <row r="126" spans="1:11" s="197" customFormat="1" ht="12.75">
      <c r="C126" s="199">
        <v>2012</v>
      </c>
      <c r="D126" s="147"/>
      <c r="E126" s="147"/>
      <c r="F126" s="147"/>
      <c r="G126" s="147"/>
      <c r="H126" s="75">
        <f>+IF(H85&lt;H48,INDEX(LOGEST(H100:H100,H48),2)*EXP((INDEX(LOGEST(H100:H100,H48),1)-1)*H85),INDEX(LOGEST(H100:I100,H48:I48),2)*EXP((INDEX(LOGEST(H100:I100,H48:I48),1)-1)*H85))</f>
        <v>17120.199359272876</v>
      </c>
      <c r="I126" s="419">
        <v>18118.611750575248</v>
      </c>
      <c r="J126" s="147"/>
    </row>
    <row r="127" spans="1:11" s="197" customFormat="1" ht="12.75">
      <c r="C127" s="199">
        <v>2013</v>
      </c>
      <c r="D127" s="147"/>
      <c r="E127" s="147"/>
      <c r="F127" s="147"/>
      <c r="G127" s="75">
        <f>+IF(G86&lt;G49,INDEX(LOGEST(G101:G101,G49),2)*EXP((INDEX(LOGEST(G101:G101,G49),1)-1)*G86),INDEX(LOGEST(G101:H101,G49:H49),2)*EXP((INDEX(LOGEST(G101:H101,G49:H49),1)-1)*G86))</f>
        <v>15217.322168196104</v>
      </c>
      <c r="H127" s="75">
        <f>+IF(H86&lt;H49,INDEX(LOGEST(H101:H101,H49),2)*EXP((INDEX(LOGEST(H101:H101,H49),1)-1)*H86),INDEX(LOGEST(H101:I101,H49:I49),2)*EXP((INDEX(LOGEST(H101:I101,H49:I49),1)-1)*H86))</f>
        <v>16730.771601037479</v>
      </c>
      <c r="I127" s="419">
        <v>17648.246472587209</v>
      </c>
      <c r="J127" s="147"/>
    </row>
    <row r="128" spans="1:11" s="197" customFormat="1" ht="12.75">
      <c r="C128" s="199">
        <v>2014</v>
      </c>
      <c r="D128" s="147"/>
      <c r="E128" s="147"/>
      <c r="F128" s="75">
        <f>+IF(F87&lt;F50,INDEX(LOGEST(F102:F102,F50),2)*EXP((INDEX(LOGEST(F102:F102,F50),1)-1)*F87),INDEX(LOGEST(F102:G102,F50:G50),2)*EXP((INDEX(LOGEST(F102:G102,F50:G50),1)-1)*F87))</f>
        <v>13077.73779861503</v>
      </c>
      <c r="G128" s="75">
        <f>+IF(G87&lt;G50,INDEX(LOGEST(G102:G102,G50),2)*EXP((INDEX(LOGEST(G102:G102,G50),1)-1)*G87),INDEX(LOGEST(G102:H102,G50:H50),2)*EXP((INDEX(LOGEST(G102:H102,G50:H50),1)-1)*G87))</f>
        <v>15697.871778858353</v>
      </c>
      <c r="H128" s="75">
        <f>+IF(H87&lt;H50,INDEX(LOGEST(H102:H102,H50),2)*EXP((INDEX(LOGEST(H102:H102,H50),1)-1)*H87),INDEX(LOGEST(H102:I102,H50:I50),2)*EXP((INDEX(LOGEST(H102:I102,H50:I50),1)-1)*H87))</f>
        <v>17279.678363573043</v>
      </c>
      <c r="I128" s="147">
        <f>I102</f>
        <v>18241.557222222222</v>
      </c>
      <c r="J128" s="147"/>
    </row>
    <row r="129" spans="1:10" s="197" customFormat="1" ht="12.75">
      <c r="C129" s="199">
        <v>2015</v>
      </c>
      <c r="D129" s="147"/>
      <c r="E129" s="75">
        <f>+IF(E88&lt;E51,INDEX(LOGEST(E103:E103,E51),2)*EXP((INDEX(LOGEST(E103:E103,E51),1)-1)*E88),INDEX(LOGEST(E103:F103,E51:F51),2)*EXP((INDEX(LOGEST(E103:F103,E51:F51),1)-1)*E88))</f>
        <v>8544.8838521155067</v>
      </c>
      <c r="F129" s="75">
        <f>+IF(F88&lt;F51,INDEX(LOGEST(F103:F103,F51),2)*EXP((INDEX(LOGEST(F103:F103,F51),1)-1)*F88),INDEX(LOGEST(F103:G103,F51:G51),2)*EXP((INDEX(LOGEST(F103:G103,F51:G51),1)-1)*F88))</f>
        <v>13042.194743446486</v>
      </c>
      <c r="G129" s="75">
        <f>+IF(G88&lt;G51,INDEX(LOGEST(G103:G103,G51),2)*EXP((INDEX(LOGEST(G103:G103,G51),1)-1)*G88),INDEX(LOGEST(G103:H103,G51:H51),2)*EXP((INDEX(LOGEST(G103:H103,G51:H51),1)-1)*G88))</f>
        <v>15684.389841679944</v>
      </c>
      <c r="H129" s="147">
        <f>H103</f>
        <v>17256.3295194686</v>
      </c>
      <c r="I129" s="147"/>
      <c r="J129" s="147"/>
    </row>
    <row r="130" spans="1:10" s="197" customFormat="1" ht="12.75">
      <c r="C130" s="199">
        <v>2016</v>
      </c>
      <c r="D130" s="75">
        <f>+IF(D89&lt;D52,INDEX(LOGEST(D104:D104,D52),2)*EXP((INDEX(LOGEST(D104:D104,D52),1)-1)*D89),INDEX(LOGEST(D104:E104,D52:E52),2)*EXP((INDEX(LOGEST(D104:E104,D52:E52),1)-1)*D89))</f>
        <v>3615.6856050606084</v>
      </c>
      <c r="E130" s="75">
        <f>+IF(E89&lt;E52,INDEX(LOGEST(E104:E104,E52),2)*EXP((INDEX(LOGEST(E104:E104,E52),1)-1)*E89),INDEX(LOGEST(E104:F104,E52:F52),2)*EXP((INDEX(LOGEST(E104:F104,E52:F52),1)-1)*E89))</f>
        <v>8292.2057899374668</v>
      </c>
      <c r="F130" s="75">
        <f>+IF(F89&lt;F52,INDEX(LOGEST(F104:F104,F52),2)*EXP((INDEX(LOGEST(F104:F104,F52),1)-1)*F89),INDEX(LOGEST(F104:G104,F52:G52),2)*EXP((INDEX(LOGEST(F104:G104,F52:G52),1)-1)*F89))</f>
        <v>12458.408772214225</v>
      </c>
      <c r="G130" s="147">
        <f>G104</f>
        <v>15085.497513996321</v>
      </c>
      <c r="H130" s="147"/>
      <c r="I130" s="147"/>
      <c r="J130" s="147"/>
    </row>
    <row r="131" spans="1:10" s="197" customFormat="1" ht="12.75">
      <c r="C131" s="199">
        <v>2017</v>
      </c>
      <c r="D131" s="75">
        <f>+IF(D90&lt;D53,INDEX(LOGEST(D105:D105,D53),2)*EXP((INDEX(LOGEST(D105:D105,D53),1)-1)*D90),INDEX(LOGEST(D105:E105,D53:E53),2)*EXP((INDEX(LOGEST(D105:E105,D53:E53),1)-1)*D90))</f>
        <v>3402.3511892886913</v>
      </c>
      <c r="E131" s="75">
        <f>+IF(E90&lt;E53,INDEX(LOGEST(E105:E105,E53),2)*EXP((INDEX(LOGEST(E105:E105,E53),1)-1)*E90),INDEX(LOGEST(E105:F105,E53:F53),2)*EXP((INDEX(LOGEST(E105:F105,E53:F53),1)-1)*E90))</f>
        <v>7784.6669276418079</v>
      </c>
      <c r="F131" s="147">
        <f>F105</f>
        <v>12016.533679264629</v>
      </c>
      <c r="G131" s="147"/>
      <c r="H131" s="147"/>
      <c r="I131" s="147"/>
      <c r="J131" s="147"/>
    </row>
    <row r="132" spans="1:10" s="197" customFormat="1" ht="12.75">
      <c r="C132" s="199">
        <v>2018</v>
      </c>
      <c r="D132" s="75">
        <f>+IF(D91&lt;D54,INDEX(LOGEST(D106:D106,D54),2)*EXP((INDEX(LOGEST(D106:D106,D54),1)-1)*D91),INDEX(LOGEST(D106:E106,D54:E54),2)*EXP((INDEX(LOGEST(D106:E106,D54:E54),1)-1)*D91))</f>
        <v>3570.6457320086415</v>
      </c>
      <c r="E132" s="147">
        <f>E106</f>
        <v>8204.2704941699049</v>
      </c>
      <c r="F132" s="147"/>
      <c r="G132" s="147"/>
      <c r="H132" s="147"/>
      <c r="I132" s="147"/>
      <c r="J132" s="147"/>
    </row>
    <row r="133" spans="1:10" s="197" customFormat="1" ht="12.75">
      <c r="C133" s="199">
        <v>2019</v>
      </c>
      <c r="D133" s="147">
        <f>D107</f>
        <v>3811.9228314314873</v>
      </c>
      <c r="E133" s="147"/>
      <c r="F133" s="147"/>
      <c r="G133" s="147"/>
      <c r="H133" s="147"/>
      <c r="I133" s="147"/>
      <c r="J133" s="147"/>
    </row>
    <row r="134" spans="1:10" s="197" customFormat="1" ht="12.75">
      <c r="D134" s="147"/>
      <c r="E134" s="147"/>
      <c r="F134" s="147"/>
      <c r="G134" s="147"/>
      <c r="H134" s="147"/>
      <c r="I134" s="147"/>
      <c r="J134" s="147"/>
    </row>
    <row r="135" spans="1:10" s="197" customFormat="1" ht="12.75">
      <c r="A135" s="239"/>
      <c r="B135" s="239" t="s">
        <v>315</v>
      </c>
      <c r="C135" s="239"/>
      <c r="D135" s="239"/>
      <c r="E135" s="239"/>
      <c r="F135" s="239"/>
      <c r="G135" s="239"/>
      <c r="H135" s="239"/>
      <c r="I135" s="239"/>
      <c r="J135" s="337"/>
    </row>
    <row r="136" spans="1:10" s="197" customFormat="1" ht="12.75">
      <c r="J136" s="338"/>
    </row>
    <row r="137" spans="1:10" s="197" customFormat="1" ht="12.75">
      <c r="C137" s="199" t="s">
        <v>203</v>
      </c>
      <c r="D137" s="533"/>
      <c r="E137" s="533"/>
      <c r="F137" s="533"/>
      <c r="G137" s="533"/>
      <c r="H137" s="533"/>
      <c r="I137" s="533"/>
      <c r="J137" s="341"/>
    </row>
    <row r="138" spans="1:10" s="197" customFormat="1" ht="12.75">
      <c r="C138" s="26" t="s">
        <v>8</v>
      </c>
      <c r="D138" s="79">
        <v>15</v>
      </c>
      <c r="E138" s="79">
        <v>27</v>
      </c>
      <c r="F138" s="79">
        <v>39</v>
      </c>
      <c r="G138" s="79">
        <v>51</v>
      </c>
      <c r="H138" s="79">
        <v>63</v>
      </c>
      <c r="I138" s="79">
        <v>75</v>
      </c>
      <c r="J138" s="79"/>
    </row>
    <row r="139" spans="1:10" s="197" customFormat="1" ht="4.5" customHeight="1">
      <c r="J139" s="338"/>
    </row>
    <row r="140" spans="1:10" s="197" customFormat="1" ht="12.75">
      <c r="C140" s="199">
        <v>2011</v>
      </c>
      <c r="D140" s="147"/>
      <c r="E140" s="147"/>
      <c r="F140" s="147"/>
      <c r="G140" s="147"/>
      <c r="H140" s="147"/>
      <c r="I140" s="147">
        <f t="shared" ref="I140:I143" si="9">I125*I84/1000</f>
        <v>2009933.1389592756</v>
      </c>
      <c r="J140" s="147"/>
    </row>
    <row r="141" spans="1:10" s="197" customFormat="1" ht="12.75">
      <c r="C141" s="199">
        <v>2012</v>
      </c>
      <c r="D141" s="147"/>
      <c r="E141" s="147"/>
      <c r="F141" s="147"/>
      <c r="G141" s="147"/>
      <c r="H141" s="147">
        <f t="shared" ref="H141:H144" si="10">H126*H85/1000</f>
        <v>1901169.9388541768</v>
      </c>
      <c r="I141" s="147">
        <f t="shared" si="9"/>
        <v>2074519.0177830681</v>
      </c>
      <c r="J141" s="147"/>
    </row>
    <row r="142" spans="1:10" s="197" customFormat="1" ht="12.75">
      <c r="C142" s="199">
        <v>2013</v>
      </c>
      <c r="D142" s="147"/>
      <c r="E142" s="147"/>
      <c r="F142" s="147"/>
      <c r="G142" s="147">
        <f t="shared" ref="G142:G145" si="11">G127*G86/1000</f>
        <v>1706191.140998696</v>
      </c>
      <c r="H142" s="147">
        <f t="shared" si="10"/>
        <v>1983640.5924570737</v>
      </c>
      <c r="I142" s="147">
        <f t="shared" si="9"/>
        <v>2157391.4704970922</v>
      </c>
      <c r="J142" s="147"/>
    </row>
    <row r="143" spans="1:10" s="197" customFormat="1" ht="12.75">
      <c r="C143" s="199">
        <v>2014</v>
      </c>
      <c r="D143" s="147"/>
      <c r="E143" s="147"/>
      <c r="F143" s="147">
        <f t="shared" ref="F143:F146" si="12">F128*F87/1000</f>
        <v>1376227.1668544484</v>
      </c>
      <c r="G143" s="147">
        <f t="shared" si="11"/>
        <v>1840067.1907526636</v>
      </c>
      <c r="H143" s="147">
        <f t="shared" si="10"/>
        <v>2141835.5751203182</v>
      </c>
      <c r="I143" s="147">
        <f t="shared" si="9"/>
        <v>2331271.0129999998</v>
      </c>
      <c r="J143" s="147"/>
    </row>
    <row r="144" spans="1:10" s="197" customFormat="1" ht="12.75">
      <c r="C144" s="199">
        <v>2015</v>
      </c>
      <c r="D144" s="147"/>
      <c r="E144" s="147">
        <f t="shared" ref="E144:E147" si="13">E129*E88/1000</f>
        <v>732826.97431481548</v>
      </c>
      <c r="F144" s="147">
        <f t="shared" si="12"/>
        <v>1423586.4328754682</v>
      </c>
      <c r="G144" s="147">
        <f t="shared" si="11"/>
        <v>1906936.3242271806</v>
      </c>
      <c r="H144" s="147">
        <f t="shared" si="10"/>
        <v>2218577.2609999999</v>
      </c>
      <c r="I144" s="147"/>
      <c r="J144" s="147"/>
    </row>
    <row r="145" spans="1:10" s="197" customFormat="1" ht="12.75">
      <c r="C145" s="199">
        <v>2016</v>
      </c>
      <c r="D145" s="147">
        <f t="shared" ref="D145:D148" si="14">D130*D89/1000</f>
        <v>185562.99307442326</v>
      </c>
      <c r="E145" s="147">
        <f t="shared" si="13"/>
        <v>728208.38884683966</v>
      </c>
      <c r="F145" s="147">
        <f t="shared" si="12"/>
        <v>1392470.6797433924</v>
      </c>
      <c r="G145" s="147">
        <f t="shared" si="11"/>
        <v>1878099.1839999997</v>
      </c>
      <c r="H145" s="147"/>
      <c r="I145" s="147"/>
      <c r="J145" s="147"/>
    </row>
    <row r="146" spans="1:10" s="197" customFormat="1" ht="12.75">
      <c r="C146" s="199">
        <v>2017</v>
      </c>
      <c r="D146" s="147">
        <f t="shared" si="14"/>
        <v>175225.87518527644</v>
      </c>
      <c r="E146" s="147">
        <f t="shared" si="13"/>
        <v>686031.45926847693</v>
      </c>
      <c r="F146" s="147">
        <f t="shared" si="12"/>
        <v>1347786.4339999999</v>
      </c>
      <c r="G146" s="147"/>
      <c r="H146" s="147"/>
      <c r="I146" s="147"/>
      <c r="J146" s="147"/>
    </row>
    <row r="147" spans="1:10" s="197" customFormat="1" ht="12.75">
      <c r="C147" s="199">
        <v>2018</v>
      </c>
      <c r="D147" s="147">
        <f t="shared" si="14"/>
        <v>187908.13529082542</v>
      </c>
      <c r="E147" s="147">
        <f t="shared" si="13"/>
        <v>738794.55799999984</v>
      </c>
      <c r="F147" s="147"/>
      <c r="G147" s="147"/>
      <c r="H147" s="147"/>
      <c r="I147" s="147"/>
      <c r="J147" s="147"/>
    </row>
    <row r="148" spans="1:10" s="197" customFormat="1" ht="12.75">
      <c r="C148" s="199">
        <v>2019</v>
      </c>
      <c r="D148" s="147">
        <f t="shared" si="14"/>
        <v>205443.58100000001</v>
      </c>
      <c r="E148" s="147"/>
      <c r="F148" s="147"/>
      <c r="G148" s="147"/>
      <c r="H148" s="147"/>
      <c r="I148" s="147"/>
      <c r="J148" s="147"/>
    </row>
    <row r="149" spans="1:10" s="197" customFormat="1" ht="12.75">
      <c r="D149" s="147"/>
      <c r="E149" s="147"/>
      <c r="F149" s="147"/>
      <c r="G149" s="147"/>
      <c r="H149" s="147"/>
      <c r="I149" s="147"/>
      <c r="J149" s="147"/>
    </row>
    <row r="150" spans="1:10" s="197" customFormat="1" ht="12.75">
      <c r="A150" s="239"/>
      <c r="B150" s="239" t="s">
        <v>273</v>
      </c>
      <c r="C150" s="239"/>
      <c r="D150" s="239"/>
      <c r="E150" s="239"/>
      <c r="F150" s="239"/>
      <c r="G150" s="239"/>
      <c r="H150" s="239"/>
      <c r="I150" s="239"/>
      <c r="J150" s="337"/>
    </row>
    <row r="151" spans="1:10" s="197" customFormat="1" ht="12.75">
      <c r="J151" s="338"/>
    </row>
    <row r="152" spans="1:10" s="197" customFormat="1" ht="12.75">
      <c r="C152" s="199" t="s">
        <v>203</v>
      </c>
      <c r="D152" s="533"/>
      <c r="E152" s="533"/>
      <c r="F152" s="533"/>
      <c r="G152" s="533"/>
      <c r="H152" s="533"/>
      <c r="I152" s="533"/>
      <c r="J152" s="341"/>
    </row>
    <row r="153" spans="1:10" s="197" customFormat="1" ht="12.75">
      <c r="C153" s="26" t="s">
        <v>8</v>
      </c>
      <c r="D153" s="79">
        <v>15</v>
      </c>
      <c r="E153" s="79">
        <v>27</v>
      </c>
      <c r="F153" s="79">
        <v>39</v>
      </c>
      <c r="G153" s="79">
        <v>51</v>
      </c>
      <c r="H153" s="79">
        <v>63</v>
      </c>
      <c r="I153" s="79">
        <v>75</v>
      </c>
      <c r="J153" s="79"/>
    </row>
    <row r="154" spans="1:10" s="197" customFormat="1" ht="4.5" customHeight="1">
      <c r="J154" s="338"/>
    </row>
    <row r="155" spans="1:10" s="197" customFormat="1" ht="12.75">
      <c r="C155" s="199">
        <v>2011</v>
      </c>
      <c r="D155" s="419"/>
      <c r="E155" s="419"/>
      <c r="F155" s="419"/>
      <c r="G155" s="419"/>
      <c r="H155" s="419"/>
      <c r="I155" s="419">
        <v>522065.85482035234</v>
      </c>
      <c r="J155" s="147"/>
    </row>
    <row r="156" spans="1:10" s="197" customFormat="1" ht="12.75">
      <c r="C156" s="199">
        <v>2012</v>
      </c>
      <c r="D156" s="419"/>
      <c r="E156" s="419"/>
      <c r="F156" s="419"/>
      <c r="G156" s="419"/>
      <c r="H156" s="419">
        <v>626215.69389582088</v>
      </c>
      <c r="I156" s="419">
        <v>500428.52172366832</v>
      </c>
      <c r="J156" s="147"/>
    </row>
    <row r="157" spans="1:10" s="197" customFormat="1" ht="12.75">
      <c r="C157" s="199">
        <v>2013</v>
      </c>
      <c r="D157" s="419"/>
      <c r="E157" s="419"/>
      <c r="F157" s="419"/>
      <c r="G157" s="419">
        <v>745920.1705063167</v>
      </c>
      <c r="H157" s="419">
        <v>593096.59206737427</v>
      </c>
      <c r="I157" s="419">
        <v>461196.73100000026</v>
      </c>
      <c r="J157" s="147"/>
    </row>
    <row r="158" spans="1:10" s="197" customFormat="1" ht="12.75">
      <c r="C158" s="199">
        <v>2014</v>
      </c>
      <c r="D158" s="419"/>
      <c r="E158" s="419"/>
      <c r="F158" s="419">
        <v>891257.55475445464</v>
      </c>
      <c r="G158" s="419">
        <v>751499.75348875427</v>
      </c>
      <c r="H158" s="419">
        <v>589297.75</v>
      </c>
      <c r="I158" s="419">
        <v>463731.81599999999</v>
      </c>
      <c r="J158" s="147"/>
    </row>
    <row r="159" spans="1:10" s="197" customFormat="1" ht="12.75">
      <c r="C159" s="199">
        <v>2015</v>
      </c>
      <c r="D159" s="419"/>
      <c r="E159" s="419">
        <v>848824.69615495484</v>
      </c>
      <c r="F159" s="419">
        <v>876539.22115277313</v>
      </c>
      <c r="G159" s="419">
        <v>710784.75</v>
      </c>
      <c r="H159" s="419">
        <v>555918.87800000003</v>
      </c>
      <c r="I159" s="419"/>
      <c r="J159" s="147"/>
    </row>
    <row r="160" spans="1:10" s="197" customFormat="1" ht="12.75">
      <c r="C160" s="199">
        <v>2016</v>
      </c>
      <c r="D160" s="419">
        <v>458629.51023963862</v>
      </c>
      <c r="E160" s="419">
        <v>824625.56618465739</v>
      </c>
      <c r="F160" s="419">
        <v>829831.8339999998</v>
      </c>
      <c r="G160" s="419">
        <v>665538.98400000005</v>
      </c>
      <c r="H160" s="419"/>
      <c r="I160" s="419"/>
      <c r="J160" s="147"/>
    </row>
    <row r="161" spans="1:11" s="197" customFormat="1" ht="12.75">
      <c r="C161" s="199">
        <v>2017</v>
      </c>
      <c r="D161" s="419">
        <v>461627.63342681027</v>
      </c>
      <c r="E161" s="419">
        <v>822466.58200000005</v>
      </c>
      <c r="F161" s="419">
        <v>825361.36199999996</v>
      </c>
      <c r="G161" s="419"/>
      <c r="H161" s="419"/>
      <c r="I161" s="419"/>
      <c r="J161" s="147"/>
    </row>
    <row r="162" spans="1:11" s="197" customFormat="1" ht="12.75">
      <c r="C162" s="199">
        <v>2018</v>
      </c>
      <c r="D162" s="419">
        <v>493584.71799999999</v>
      </c>
      <c r="E162" s="419">
        <v>857088.08200000005</v>
      </c>
      <c r="F162" s="419"/>
      <c r="G162" s="419"/>
      <c r="H162" s="419"/>
      <c r="I162" s="419"/>
      <c r="J162" s="147"/>
    </row>
    <row r="163" spans="1:11" s="197" customFormat="1" ht="12.75">
      <c r="C163" s="199">
        <v>2019</v>
      </c>
      <c r="D163" s="419">
        <v>515277.45500000002</v>
      </c>
      <c r="E163" s="419"/>
      <c r="F163" s="419"/>
      <c r="G163" s="419"/>
      <c r="H163" s="419"/>
      <c r="I163" s="419"/>
      <c r="J163" s="147"/>
    </row>
    <row r="164" spans="1:11" s="197" customFormat="1" ht="12.75">
      <c r="C164" s="199"/>
      <c r="D164" s="147"/>
      <c r="E164" s="147"/>
      <c r="F164" s="147"/>
      <c r="G164" s="147"/>
      <c r="H164" s="147"/>
      <c r="I164" s="147"/>
      <c r="J164" s="147"/>
    </row>
    <row r="165" spans="1:11" s="338" customFormat="1" ht="12.75">
      <c r="C165" s="286"/>
      <c r="D165" s="147"/>
      <c r="E165" s="147"/>
      <c r="F165" s="147"/>
      <c r="G165" s="147"/>
      <c r="H165" s="147"/>
      <c r="I165" s="147"/>
      <c r="J165" s="147"/>
    </row>
    <row r="166" spans="1:11" s="197" customFormat="1" ht="26.25" customHeight="1">
      <c r="A166" s="148" t="s">
        <v>38</v>
      </c>
      <c r="B166" s="535" t="s">
        <v>274</v>
      </c>
      <c r="C166" s="535"/>
      <c r="D166" s="535"/>
      <c r="E166" s="535"/>
      <c r="F166" s="535"/>
      <c r="G166" s="535"/>
      <c r="H166" s="535"/>
      <c r="I166" s="535"/>
      <c r="J166" s="535"/>
      <c r="K166" s="250"/>
    </row>
    <row r="167" spans="1:11" s="197" customFormat="1" ht="24.75" customHeight="1">
      <c r="A167" s="148" t="s">
        <v>57</v>
      </c>
      <c r="B167" s="535" t="s">
        <v>275</v>
      </c>
      <c r="C167" s="535"/>
      <c r="D167" s="535"/>
      <c r="E167" s="535"/>
      <c r="F167" s="535"/>
      <c r="G167" s="535"/>
      <c r="H167" s="535"/>
      <c r="I167" s="535"/>
      <c r="J167" s="535"/>
    </row>
    <row r="168" spans="1:11" s="197" customFormat="1" ht="12.75">
      <c r="B168" s="536"/>
      <c r="C168" s="536"/>
      <c r="D168" s="536"/>
      <c r="E168" s="536"/>
      <c r="F168" s="536"/>
      <c r="G168" s="536"/>
      <c r="H168" s="536"/>
      <c r="I168" s="536"/>
      <c r="J168" s="338"/>
    </row>
    <row r="169" spans="1:11" s="197" customFormat="1" ht="12.75">
      <c r="B169" s="342" t="s">
        <v>287</v>
      </c>
      <c r="C169" s="342"/>
      <c r="D169" s="342"/>
      <c r="E169" s="342"/>
      <c r="F169" s="342"/>
      <c r="G169" s="342"/>
      <c r="H169" s="342"/>
      <c r="I169" s="342"/>
      <c r="J169" s="338"/>
    </row>
    <row r="170" spans="1:11" s="201" customFormat="1" ht="45" customHeight="1">
      <c r="A170" s="63"/>
      <c r="B170" s="63"/>
      <c r="C170" s="63"/>
      <c r="D170" s="63"/>
      <c r="E170" s="63"/>
      <c r="F170" s="63"/>
      <c r="G170" s="63"/>
      <c r="H170" s="63"/>
      <c r="I170" s="63"/>
      <c r="J170" s="63"/>
      <c r="K170" s="148" t="s">
        <v>387</v>
      </c>
    </row>
    <row r="171" spans="1:11" s="197" customFormat="1" ht="13.15">
      <c r="A171" s="279" t="s">
        <v>31</v>
      </c>
      <c r="B171" s="279"/>
      <c r="C171" s="279"/>
      <c r="D171" s="279"/>
      <c r="E171" s="279"/>
      <c r="F171" s="279"/>
      <c r="G171" s="279"/>
      <c r="H171" s="279"/>
      <c r="I171" s="279"/>
      <c r="J171" s="279"/>
      <c r="K171" s="279"/>
    </row>
    <row r="172" spans="1:11" s="197" customFormat="1" ht="13.15">
      <c r="A172" s="279" t="s">
        <v>262</v>
      </c>
      <c r="B172" s="279"/>
      <c r="C172" s="279"/>
      <c r="D172" s="279"/>
      <c r="E172" s="279"/>
      <c r="F172" s="279"/>
      <c r="G172" s="279"/>
      <c r="H172" s="279"/>
      <c r="I172" s="279"/>
      <c r="J172" s="279"/>
      <c r="K172" s="279"/>
    </row>
    <row r="173" spans="1:11" s="197" customFormat="1" ht="13.15">
      <c r="A173" s="279" t="s">
        <v>263</v>
      </c>
      <c r="B173" s="279"/>
      <c r="C173" s="279"/>
      <c r="D173" s="279"/>
      <c r="E173" s="279"/>
      <c r="F173" s="279"/>
      <c r="G173" s="279"/>
      <c r="H173" s="279"/>
      <c r="I173" s="279"/>
      <c r="J173" s="279"/>
      <c r="K173" s="279"/>
    </row>
    <row r="174" spans="1:11" s="197" customFormat="1" ht="13.15">
      <c r="A174" s="195"/>
      <c r="B174" s="195"/>
      <c r="C174" s="195"/>
      <c r="D174" s="195"/>
      <c r="E174" s="195"/>
      <c r="F174" s="195"/>
      <c r="G174" s="195"/>
      <c r="H174" s="195"/>
      <c r="I174" s="195"/>
      <c r="J174" s="340"/>
      <c r="K174" s="195"/>
    </row>
    <row r="175" spans="1:11" s="197" customFormat="1" ht="12.75">
      <c r="J175" s="338"/>
    </row>
    <row r="176" spans="1:11" s="197" customFormat="1" ht="12.75">
      <c r="A176" s="239"/>
      <c r="B176" s="239" t="s">
        <v>316</v>
      </c>
      <c r="C176" s="239"/>
      <c r="D176" s="239"/>
      <c r="E176" s="239"/>
      <c r="F176" s="239"/>
      <c r="G176" s="239"/>
      <c r="H176" s="239"/>
      <c r="I176" s="239"/>
      <c r="J176" s="239"/>
      <c r="K176" s="239"/>
    </row>
    <row r="177" spans="1:11" s="197" customFormat="1" ht="12.75">
      <c r="J177" s="338"/>
    </row>
    <row r="178" spans="1:11" s="197" customFormat="1" ht="12.75">
      <c r="C178" s="199" t="s">
        <v>203</v>
      </c>
      <c r="D178" s="533"/>
      <c r="E178" s="533"/>
      <c r="F178" s="533"/>
      <c r="G178" s="533"/>
      <c r="H178" s="533"/>
      <c r="I178" s="533"/>
      <c r="J178" s="341"/>
    </row>
    <row r="179" spans="1:11" s="197" customFormat="1" ht="12.75">
      <c r="C179" s="26" t="s">
        <v>8</v>
      </c>
      <c r="D179" s="79">
        <v>15</v>
      </c>
      <c r="E179" s="79">
        <v>27</v>
      </c>
      <c r="F179" s="79">
        <v>39</v>
      </c>
      <c r="G179" s="79">
        <v>51</v>
      </c>
      <c r="H179" s="79">
        <v>63</v>
      </c>
      <c r="I179" s="79">
        <v>75</v>
      </c>
      <c r="J179" s="79"/>
    </row>
    <row r="180" spans="1:11" s="197" customFormat="1" ht="4.5" customHeight="1">
      <c r="J180" s="338"/>
    </row>
    <row r="181" spans="1:11" s="197" customFormat="1" ht="12.75">
      <c r="C181" s="199">
        <v>2011</v>
      </c>
      <c r="D181" s="417"/>
      <c r="E181" s="417"/>
      <c r="F181" s="417"/>
      <c r="G181" s="417"/>
      <c r="H181" s="417"/>
      <c r="I181" s="417">
        <v>37390.632747015028</v>
      </c>
      <c r="J181" s="75"/>
    </row>
    <row r="182" spans="1:11" s="197" customFormat="1" ht="12.75">
      <c r="C182" s="199">
        <v>2012</v>
      </c>
      <c r="D182" s="417"/>
      <c r="E182" s="417"/>
      <c r="F182" s="417"/>
      <c r="G182" s="417"/>
      <c r="H182" s="417">
        <v>32236.079613431804</v>
      </c>
      <c r="I182" s="417">
        <v>37779.157025009816</v>
      </c>
      <c r="J182" s="75"/>
    </row>
    <row r="183" spans="1:11" s="197" customFormat="1" ht="12.75">
      <c r="C183" s="199">
        <v>2013</v>
      </c>
      <c r="D183" s="417"/>
      <c r="E183" s="417"/>
      <c r="F183" s="417"/>
      <c r="G183" s="417">
        <v>26643.971255112549</v>
      </c>
      <c r="H183" s="417">
        <v>32341.72828938227</v>
      </c>
      <c r="I183" s="417">
        <v>37562.854780908965</v>
      </c>
      <c r="J183" s="75"/>
    </row>
    <row r="184" spans="1:11" s="197" customFormat="1" ht="12.75">
      <c r="C184" s="199">
        <v>2014</v>
      </c>
      <c r="D184" s="417"/>
      <c r="E184" s="417"/>
      <c r="F184" s="417">
        <v>21002.621545214715</v>
      </c>
      <c r="G184" s="417">
        <v>27775.029961545955</v>
      </c>
      <c r="H184" s="417">
        <v>33706.900989532689</v>
      </c>
      <c r="I184" s="417">
        <v>39689.474152687435</v>
      </c>
      <c r="J184" s="75"/>
    </row>
    <row r="185" spans="1:11" s="197" customFormat="1" ht="12.75">
      <c r="C185" s="199">
        <v>2015</v>
      </c>
      <c r="D185" s="417"/>
      <c r="E185" s="417">
        <v>13438.853789293606</v>
      </c>
      <c r="F185" s="417">
        <v>21679.176573814329</v>
      </c>
      <c r="G185" s="417">
        <v>28659.519777428348</v>
      </c>
      <c r="H185" s="417">
        <v>34939.279617874425</v>
      </c>
      <c r="I185" s="417"/>
      <c r="J185" s="75"/>
    </row>
    <row r="186" spans="1:11" s="197" customFormat="1" ht="12.75">
      <c r="C186" s="199">
        <v>2016</v>
      </c>
      <c r="D186" s="417">
        <v>5458.7929333762568</v>
      </c>
      <c r="E186" s="417">
        <v>13636.951203794599</v>
      </c>
      <c r="F186" s="417">
        <v>22154.252449475389</v>
      </c>
      <c r="G186" s="417">
        <v>28923.901955671448</v>
      </c>
      <c r="H186" s="417"/>
      <c r="I186" s="417"/>
      <c r="J186" s="75"/>
    </row>
    <row r="187" spans="1:11" s="197" customFormat="1" ht="12.75">
      <c r="C187" s="199">
        <v>2017</v>
      </c>
      <c r="D187" s="417">
        <v>5605.3731965633897</v>
      </c>
      <c r="E187" s="417">
        <v>10089.671753814102</v>
      </c>
      <c r="F187" s="417">
        <v>23506.532296650719</v>
      </c>
      <c r="G187" s="417"/>
      <c r="H187" s="417"/>
      <c r="I187" s="417"/>
      <c r="J187" s="75"/>
    </row>
    <row r="188" spans="1:11" s="197" customFormat="1" ht="12.75">
      <c r="C188" s="199">
        <v>2018</v>
      </c>
      <c r="D188" s="417">
        <v>5951.3928571428569</v>
      </c>
      <c r="E188" s="417">
        <v>14804.181397357284</v>
      </c>
      <c r="F188" s="417"/>
      <c r="G188" s="417"/>
      <c r="H188" s="417"/>
      <c r="I188" s="417"/>
      <c r="J188" s="75"/>
    </row>
    <row r="189" spans="1:11" s="197" customFormat="1" ht="12.75">
      <c r="C189" s="199">
        <v>2019</v>
      </c>
      <c r="D189" s="417">
        <v>6070.8010909776385</v>
      </c>
      <c r="E189" s="417"/>
      <c r="F189" s="417"/>
      <c r="G189" s="417"/>
      <c r="H189" s="417"/>
      <c r="I189" s="417"/>
      <c r="J189" s="75"/>
    </row>
    <row r="190" spans="1:11" s="197" customFormat="1" ht="12.75">
      <c r="D190" s="75"/>
      <c r="E190" s="75"/>
      <c r="F190" s="75"/>
      <c r="G190" s="75"/>
      <c r="H190" s="75"/>
      <c r="I190" s="75"/>
      <c r="J190" s="75"/>
    </row>
    <row r="191" spans="1:11" s="197" customFormat="1" ht="12.75">
      <c r="A191" s="239"/>
      <c r="B191" s="239" t="s">
        <v>276</v>
      </c>
      <c r="C191" s="239"/>
      <c r="D191" s="239"/>
      <c r="E191" s="239"/>
      <c r="F191" s="239"/>
      <c r="G191" s="239"/>
      <c r="H191" s="239"/>
      <c r="I191" s="239"/>
      <c r="J191" s="239"/>
      <c r="K191" s="239"/>
    </row>
    <row r="192" spans="1:11" s="197" customFormat="1" ht="12.75">
      <c r="A192" s="354"/>
      <c r="B192" s="354" t="s">
        <v>317</v>
      </c>
      <c r="C192" s="354"/>
      <c r="D192" s="354"/>
      <c r="E192" s="354"/>
      <c r="F192" s="354"/>
      <c r="G192" s="354"/>
      <c r="H192" s="354"/>
      <c r="I192" s="354"/>
      <c r="J192" s="354"/>
      <c r="K192" s="354"/>
    </row>
    <row r="193" spans="1:10" s="197" customFormat="1" ht="12.75">
      <c r="J193" s="338"/>
    </row>
    <row r="194" spans="1:10" s="197" customFormat="1" ht="12.75">
      <c r="C194" s="199" t="s">
        <v>203</v>
      </c>
      <c r="D194" s="533"/>
      <c r="E194" s="533"/>
      <c r="F194" s="533"/>
      <c r="G194" s="533"/>
      <c r="H194" s="533"/>
      <c r="I194" s="533"/>
      <c r="J194" s="341"/>
    </row>
    <row r="195" spans="1:10" s="197" customFormat="1" ht="12.75">
      <c r="C195" s="26" t="s">
        <v>8</v>
      </c>
      <c r="D195" s="79">
        <v>15</v>
      </c>
      <c r="E195" s="79">
        <v>27</v>
      </c>
      <c r="F195" s="79">
        <v>39</v>
      </c>
      <c r="G195" s="79">
        <v>51</v>
      </c>
      <c r="H195" s="79">
        <v>63</v>
      </c>
      <c r="I195" s="79">
        <v>75</v>
      </c>
      <c r="J195" s="79"/>
    </row>
    <row r="196" spans="1:10" s="197" customFormat="1" ht="4.5" customHeight="1">
      <c r="J196" s="338"/>
    </row>
    <row r="197" spans="1:10" s="197" customFormat="1" ht="12.75">
      <c r="C197" s="199">
        <v>2011</v>
      </c>
      <c r="D197" s="417"/>
      <c r="E197" s="417"/>
      <c r="F197" s="417"/>
      <c r="G197" s="417"/>
      <c r="H197" s="417"/>
      <c r="I197" s="417">
        <v>-150796.42186871162</v>
      </c>
      <c r="J197" s="75"/>
    </row>
    <row r="198" spans="1:10" s="197" customFormat="1" ht="12.75">
      <c r="C198" s="199">
        <v>2012</v>
      </c>
      <c r="D198" s="417"/>
      <c r="E198" s="417"/>
      <c r="F198" s="417"/>
      <c r="G198" s="417"/>
      <c r="H198" s="417">
        <v>-185035.09698109856</v>
      </c>
      <c r="I198" s="417">
        <v>-102154.84059562655</v>
      </c>
      <c r="J198" s="75"/>
    </row>
    <row r="199" spans="1:10" s="197" customFormat="1" ht="12.75">
      <c r="C199" s="199">
        <v>2013</v>
      </c>
      <c r="D199" s="417"/>
      <c r="E199" s="417"/>
      <c r="F199" s="417"/>
      <c r="G199" s="417">
        <v>-197964.70642548625</v>
      </c>
      <c r="H199" s="417">
        <v>-118403.06726742849</v>
      </c>
      <c r="I199" s="417">
        <v>-41394.265968561682</v>
      </c>
      <c r="J199" s="75"/>
    </row>
    <row r="200" spans="1:10" s="197" customFormat="1" ht="12.75">
      <c r="C200" s="199">
        <v>2014</v>
      </c>
      <c r="D200" s="417"/>
      <c r="E200" s="417"/>
      <c r="F200" s="417">
        <v>-209480.14729197157</v>
      </c>
      <c r="G200" s="417">
        <v>-152012.738979541</v>
      </c>
      <c r="H200" s="417">
        <v>-72233.888820568551</v>
      </c>
      <c r="I200" s="417"/>
      <c r="J200" s="75"/>
    </row>
    <row r="201" spans="1:10" s="197" customFormat="1" ht="12.75">
      <c r="C201" s="199">
        <v>2015</v>
      </c>
      <c r="D201" s="417"/>
      <c r="E201" s="417">
        <v>-104809.62070270082</v>
      </c>
      <c r="F201" s="417">
        <v>-134454.25311079648</v>
      </c>
      <c r="G201" s="417">
        <v>-66776.681081408053</v>
      </c>
      <c r="H201" s="417"/>
      <c r="I201" s="417"/>
      <c r="J201" s="75"/>
    </row>
    <row r="202" spans="1:10" s="197" customFormat="1" ht="12.75">
      <c r="C202" s="199">
        <v>2016</v>
      </c>
      <c r="D202" s="417">
        <v>-24668.285265927305</v>
      </c>
      <c r="E202" s="417">
        <v>-58720.711883539545</v>
      </c>
      <c r="F202" s="417">
        <v>-54676.695045305256</v>
      </c>
      <c r="G202" s="417"/>
      <c r="H202" s="417"/>
      <c r="I202" s="417"/>
      <c r="J202" s="75"/>
    </row>
    <row r="203" spans="1:10" s="197" customFormat="1" ht="12.75">
      <c r="C203" s="199">
        <v>2017</v>
      </c>
      <c r="D203" s="417">
        <v>-4495.5093036438384</v>
      </c>
      <c r="E203" s="417">
        <v>50.448358769070509</v>
      </c>
      <c r="F203" s="417"/>
      <c r="G203" s="417"/>
      <c r="H203" s="417"/>
      <c r="I203" s="417"/>
      <c r="J203" s="75"/>
    </row>
    <row r="204" spans="1:10" s="197" customFormat="1" ht="12.75">
      <c r="C204" s="199">
        <v>2018</v>
      </c>
      <c r="D204" s="417">
        <v>-339.22939285714284</v>
      </c>
      <c r="E204" s="417"/>
      <c r="F204" s="417"/>
      <c r="G204" s="417"/>
      <c r="H204" s="417"/>
      <c r="I204" s="417"/>
      <c r="J204" s="75"/>
    </row>
    <row r="205" spans="1:10" s="197" customFormat="1" ht="12.75">
      <c r="C205" s="199"/>
      <c r="E205" s="149"/>
      <c r="H205" s="150"/>
      <c r="J205" s="338"/>
    </row>
    <row r="206" spans="1:10" s="197" customFormat="1" ht="12.75">
      <c r="A206" s="239"/>
      <c r="B206" s="239" t="s">
        <v>318</v>
      </c>
      <c r="C206" s="239"/>
      <c r="D206" s="239"/>
      <c r="E206" s="239"/>
      <c r="F206" s="239"/>
      <c r="G206" s="239"/>
      <c r="H206" s="239"/>
      <c r="I206" s="239"/>
      <c r="J206" s="337"/>
    </row>
    <row r="207" spans="1:10" s="197" customFormat="1" ht="12.75">
      <c r="J207" s="338"/>
    </row>
    <row r="208" spans="1:10" s="197" customFormat="1" ht="12.75">
      <c r="C208" s="199" t="s">
        <v>203</v>
      </c>
      <c r="D208" s="533"/>
      <c r="E208" s="533"/>
      <c r="F208" s="533"/>
      <c r="G208" s="533"/>
      <c r="H208" s="533"/>
      <c r="I208" s="533"/>
      <c r="J208" s="341"/>
    </row>
    <row r="209" spans="1:11" s="197" customFormat="1" ht="12.75">
      <c r="C209" s="26" t="s">
        <v>8</v>
      </c>
      <c r="D209" s="79">
        <v>15</v>
      </c>
      <c r="E209" s="79">
        <v>27</v>
      </c>
      <c r="F209" s="79">
        <v>39</v>
      </c>
      <c r="G209" s="79">
        <v>51</v>
      </c>
      <c r="H209" s="79">
        <v>63</v>
      </c>
      <c r="I209" s="79">
        <v>75</v>
      </c>
      <c r="J209" s="79"/>
    </row>
    <row r="210" spans="1:11" s="197" customFormat="1" ht="4.5" customHeight="1">
      <c r="J210" s="338"/>
    </row>
    <row r="211" spans="1:11" s="197" customFormat="1" ht="12.75">
      <c r="C211" s="199">
        <v>2011</v>
      </c>
      <c r="D211" s="75"/>
      <c r="E211" s="75"/>
      <c r="F211" s="75"/>
      <c r="G211" s="75"/>
      <c r="H211" s="75"/>
      <c r="I211" s="75">
        <f t="shared" ref="I211" si="15">I197+I155</f>
        <v>371269.43295164069</v>
      </c>
      <c r="J211" s="75"/>
    </row>
    <row r="212" spans="1:11" s="197" customFormat="1" ht="12.75">
      <c r="C212" s="199">
        <v>2012</v>
      </c>
      <c r="D212" s="75"/>
      <c r="E212" s="75"/>
      <c r="F212" s="75"/>
      <c r="G212" s="75"/>
      <c r="H212" s="75">
        <f t="shared" ref="H212:I212" si="16">H198+H156</f>
        <v>441180.59691472235</v>
      </c>
      <c r="I212" s="75">
        <f t="shared" si="16"/>
        <v>398273.68112804176</v>
      </c>
      <c r="J212" s="75"/>
    </row>
    <row r="213" spans="1:11" s="197" customFormat="1" ht="12.75">
      <c r="C213" s="199">
        <v>2013</v>
      </c>
      <c r="D213" s="75"/>
      <c r="E213" s="75"/>
      <c r="F213" s="75"/>
      <c r="G213" s="75">
        <f t="shared" ref="G213:I213" si="17">G199+G157</f>
        <v>547955.46408083045</v>
      </c>
      <c r="H213" s="75">
        <f t="shared" si="17"/>
        <v>474693.52479994576</v>
      </c>
      <c r="I213" s="75">
        <f t="shared" si="17"/>
        <v>419802.46503143857</v>
      </c>
      <c r="J213" s="75"/>
    </row>
    <row r="214" spans="1:11" s="197" customFormat="1" ht="12.75">
      <c r="C214" s="199">
        <v>2014</v>
      </c>
      <c r="D214" s="75"/>
      <c r="E214" s="75"/>
      <c r="F214" s="75">
        <f t="shared" ref="F214:I214" si="18">F200+F158</f>
        <v>681777.40746248304</v>
      </c>
      <c r="G214" s="75">
        <f t="shared" si="18"/>
        <v>599487.01450921327</v>
      </c>
      <c r="H214" s="75">
        <f t="shared" si="18"/>
        <v>517063.86117943143</v>
      </c>
      <c r="I214" s="75">
        <f t="shared" si="18"/>
        <v>463731.81599999999</v>
      </c>
      <c r="J214" s="75"/>
    </row>
    <row r="215" spans="1:11" s="197" customFormat="1" ht="12.75">
      <c r="C215" s="199">
        <v>2015</v>
      </c>
      <c r="D215" s="75"/>
      <c r="E215" s="75">
        <f t="shared" ref="E215:H215" si="19">E201+E159</f>
        <v>744015.07545225404</v>
      </c>
      <c r="F215" s="75">
        <f t="shared" si="19"/>
        <v>742084.96804197668</v>
      </c>
      <c r="G215" s="75">
        <f t="shared" si="19"/>
        <v>644008.06891859195</v>
      </c>
      <c r="H215" s="75">
        <f t="shared" si="19"/>
        <v>555918.87800000003</v>
      </c>
      <c r="I215" s="75"/>
      <c r="J215" s="75"/>
    </row>
    <row r="216" spans="1:11" s="197" customFormat="1" ht="12.75">
      <c r="C216" s="199">
        <v>2016</v>
      </c>
      <c r="D216" s="75">
        <f t="shared" ref="D216:D219" si="20">D202+D160</f>
        <v>433961.2249737113</v>
      </c>
      <c r="E216" s="75">
        <f t="shared" ref="E216:G216" si="21">E202+E160</f>
        <v>765904.85430111783</v>
      </c>
      <c r="F216" s="75">
        <f t="shared" si="21"/>
        <v>775155.1389546945</v>
      </c>
      <c r="G216" s="75">
        <f t="shared" si="21"/>
        <v>665538.98400000005</v>
      </c>
      <c r="H216" s="75"/>
      <c r="I216" s="75"/>
      <c r="J216" s="75"/>
    </row>
    <row r="217" spans="1:11" s="197" customFormat="1" ht="12.75">
      <c r="C217" s="199">
        <v>2017</v>
      </c>
      <c r="D217" s="75">
        <f t="shared" si="20"/>
        <v>457132.12412316643</v>
      </c>
      <c r="E217" s="75">
        <f t="shared" ref="E217:F217" si="22">E203+E161</f>
        <v>822517.03035876912</v>
      </c>
      <c r="F217" s="75">
        <f t="shared" si="22"/>
        <v>825361.36199999996</v>
      </c>
      <c r="G217" s="75"/>
      <c r="H217" s="75"/>
      <c r="I217" s="75"/>
      <c r="J217" s="75"/>
    </row>
    <row r="218" spans="1:11" s="197" customFormat="1" ht="12.75">
      <c r="C218" s="199">
        <v>2018</v>
      </c>
      <c r="D218" s="75">
        <f t="shared" si="20"/>
        <v>493245.48860714288</v>
      </c>
      <c r="E218" s="75">
        <f t="shared" ref="E218" si="23">E204+E162</f>
        <v>857088.08200000005</v>
      </c>
      <c r="F218" s="75"/>
      <c r="G218" s="75"/>
      <c r="H218" s="75"/>
      <c r="I218" s="75"/>
      <c r="J218" s="75"/>
    </row>
    <row r="219" spans="1:11" s="197" customFormat="1" ht="12.75">
      <c r="C219" s="199">
        <v>2019</v>
      </c>
      <c r="D219" s="75">
        <f t="shared" si="20"/>
        <v>515277.45500000002</v>
      </c>
      <c r="E219" s="75"/>
      <c r="F219" s="75"/>
      <c r="G219" s="75"/>
      <c r="H219" s="75"/>
      <c r="I219" s="75"/>
      <c r="J219" s="75"/>
    </row>
    <row r="220" spans="1:11" s="197" customFormat="1" ht="12.75">
      <c r="C220" s="199"/>
      <c r="E220" s="75"/>
      <c r="F220" s="75"/>
      <c r="G220" s="75"/>
      <c r="H220" s="75"/>
      <c r="I220" s="149"/>
      <c r="J220" s="149"/>
    </row>
    <row r="221" spans="1:11" s="197" customFormat="1" ht="67.150000000000006" customHeight="1">
      <c r="A221" s="148" t="s">
        <v>41</v>
      </c>
      <c r="B221" s="534" t="s">
        <v>277</v>
      </c>
      <c r="C221" s="534"/>
      <c r="D221" s="534"/>
      <c r="E221" s="534"/>
      <c r="F221" s="534"/>
      <c r="G221" s="534"/>
      <c r="H221" s="534"/>
      <c r="I221" s="534"/>
      <c r="J221" s="534"/>
      <c r="K221" s="249"/>
    </row>
    <row r="222" spans="1:11" s="197" customFormat="1" ht="39" customHeight="1">
      <c r="A222" s="148" t="s">
        <v>76</v>
      </c>
      <c r="B222" s="534" t="s">
        <v>278</v>
      </c>
      <c r="C222" s="534"/>
      <c r="D222" s="534"/>
      <c r="E222" s="534"/>
      <c r="F222" s="534"/>
      <c r="G222" s="534"/>
      <c r="H222" s="534"/>
      <c r="I222" s="534"/>
      <c r="J222" s="534"/>
      <c r="K222" s="249"/>
    </row>
    <row r="223" spans="1:11" s="197" customFormat="1" ht="27" customHeight="1">
      <c r="A223" s="148" t="s">
        <v>170</v>
      </c>
      <c r="B223" s="534" t="s">
        <v>279</v>
      </c>
      <c r="C223" s="534"/>
      <c r="D223" s="534"/>
      <c r="E223" s="534"/>
      <c r="F223" s="534"/>
      <c r="G223" s="534"/>
      <c r="H223" s="534"/>
      <c r="I223" s="534"/>
      <c r="J223" s="534"/>
      <c r="K223" s="249"/>
    </row>
    <row r="224" spans="1:11" s="197" customFormat="1" ht="12.75">
      <c r="J224" s="338"/>
    </row>
    <row r="225" spans="1:11" s="197" customFormat="1" ht="12.75">
      <c r="B225" s="342" t="s">
        <v>287</v>
      </c>
      <c r="C225" s="342"/>
      <c r="D225" s="342"/>
      <c r="E225" s="342"/>
      <c r="F225" s="342"/>
      <c r="G225" s="342"/>
      <c r="H225" s="342"/>
      <c r="I225" s="342"/>
      <c r="J225" s="338"/>
    </row>
    <row r="226" spans="1:11" s="201" customFormat="1" ht="45" customHeight="1">
      <c r="A226" s="200"/>
      <c r="B226" s="200"/>
      <c r="C226" s="61"/>
      <c r="D226" s="228"/>
      <c r="E226" s="228"/>
      <c r="F226" s="228"/>
      <c r="G226" s="228"/>
      <c r="H226" s="200"/>
      <c r="I226" s="200"/>
      <c r="J226" s="272"/>
      <c r="K226" s="148" t="s">
        <v>388</v>
      </c>
    </row>
    <row r="227" spans="1:11" s="197" customFormat="1" ht="13.15">
      <c r="A227" s="279" t="s">
        <v>31</v>
      </c>
      <c r="B227" s="279"/>
      <c r="C227" s="279"/>
      <c r="D227" s="279"/>
      <c r="E227" s="279"/>
      <c r="F227" s="279"/>
      <c r="G227" s="279"/>
      <c r="H227" s="279"/>
      <c r="I227" s="279"/>
      <c r="J227" s="279"/>
      <c r="K227" s="279"/>
    </row>
    <row r="228" spans="1:11" s="197" customFormat="1" ht="13.15">
      <c r="A228" s="279" t="s">
        <v>262</v>
      </c>
      <c r="B228" s="279"/>
      <c r="C228" s="279"/>
      <c r="D228" s="279"/>
      <c r="E228" s="279"/>
      <c r="F228" s="279"/>
      <c r="G228" s="279"/>
      <c r="H228" s="279"/>
      <c r="I228" s="279"/>
      <c r="J228" s="279"/>
      <c r="K228" s="279"/>
    </row>
    <row r="229" spans="1:11" s="197" customFormat="1" ht="13.15">
      <c r="A229" s="279" t="s">
        <v>263</v>
      </c>
      <c r="B229" s="279"/>
      <c r="C229" s="279"/>
      <c r="D229" s="279"/>
      <c r="E229" s="279"/>
      <c r="F229" s="279"/>
      <c r="G229" s="279"/>
      <c r="H229" s="279"/>
      <c r="I229" s="279"/>
      <c r="J229" s="279"/>
      <c r="K229" s="279"/>
    </row>
    <row r="230" spans="1:11" s="197" customFormat="1" ht="13.15">
      <c r="A230" s="195"/>
      <c r="B230" s="195"/>
      <c r="C230" s="195"/>
      <c r="D230" s="195"/>
      <c r="E230" s="195"/>
      <c r="F230" s="195"/>
      <c r="G230" s="195"/>
      <c r="H230" s="195"/>
      <c r="J230" s="338"/>
    </row>
    <row r="231" spans="1:11" s="197" customFormat="1" ht="12.75">
      <c r="J231" s="338"/>
    </row>
    <row r="232" spans="1:11" s="197" customFormat="1" ht="12.75">
      <c r="A232" s="239"/>
      <c r="B232" s="239" t="s">
        <v>319</v>
      </c>
      <c r="C232" s="239"/>
      <c r="D232" s="239"/>
      <c r="E232" s="239"/>
      <c r="F232" s="239"/>
      <c r="G232" s="239"/>
      <c r="H232" s="239"/>
      <c r="I232" s="239"/>
      <c r="J232" s="337"/>
    </row>
    <row r="233" spans="1:11" s="197" customFormat="1" ht="12.75">
      <c r="J233" s="338"/>
    </row>
    <row r="234" spans="1:11" s="197" customFormat="1" ht="12.75">
      <c r="C234" s="199" t="s">
        <v>203</v>
      </c>
      <c r="D234" s="533"/>
      <c r="E234" s="533"/>
      <c r="F234" s="533"/>
      <c r="G234" s="533"/>
      <c r="H234" s="533"/>
      <c r="I234" s="533"/>
      <c r="J234" s="341"/>
    </row>
    <row r="235" spans="1:11" s="197" customFormat="1" ht="12.75">
      <c r="C235" s="26" t="s">
        <v>8</v>
      </c>
      <c r="D235" s="79">
        <v>15</v>
      </c>
      <c r="E235" s="79">
        <v>27</v>
      </c>
      <c r="F235" s="79">
        <v>39</v>
      </c>
      <c r="G235" s="79">
        <v>51</v>
      </c>
      <c r="H235" s="79">
        <v>63</v>
      </c>
      <c r="I235" s="79">
        <v>75</v>
      </c>
      <c r="J235" s="79"/>
    </row>
    <row r="236" spans="1:11" s="197" customFormat="1" ht="4.5" customHeight="1">
      <c r="J236" s="338"/>
    </row>
    <row r="237" spans="1:11" s="197" customFormat="1" ht="12.75">
      <c r="C237" s="199">
        <v>2011</v>
      </c>
      <c r="D237" s="75"/>
      <c r="E237" s="75"/>
      <c r="F237" s="75"/>
      <c r="G237" s="75"/>
      <c r="H237" s="75"/>
      <c r="I237" s="75">
        <f t="shared" ref="I237:I240" si="24">I211+I140</f>
        <v>2381202.5719109164</v>
      </c>
      <c r="J237" s="75"/>
    </row>
    <row r="238" spans="1:11" s="197" customFormat="1" ht="12.75">
      <c r="C238" s="199">
        <v>2012</v>
      </c>
      <c r="D238" s="75"/>
      <c r="E238" s="75"/>
      <c r="F238" s="75"/>
      <c r="G238" s="75"/>
      <c r="H238" s="75">
        <f t="shared" ref="H238:H241" si="25">H212+H141</f>
        <v>2342350.5357688991</v>
      </c>
      <c r="I238" s="75">
        <f t="shared" si="24"/>
        <v>2472792.6989111099</v>
      </c>
      <c r="J238" s="75"/>
    </row>
    <row r="239" spans="1:11" s="197" customFormat="1" ht="12.75">
      <c r="C239" s="199">
        <v>2013</v>
      </c>
      <c r="D239" s="75"/>
      <c r="E239" s="75"/>
      <c r="F239" s="75"/>
      <c r="G239" s="75">
        <f t="shared" ref="G239:G242" si="26">G213+G142</f>
        <v>2254146.6050795265</v>
      </c>
      <c r="H239" s="75">
        <f t="shared" si="25"/>
        <v>2458334.1172570195</v>
      </c>
      <c r="I239" s="75">
        <f t="shared" si="24"/>
        <v>2577193.9355285307</v>
      </c>
      <c r="J239" s="75"/>
    </row>
    <row r="240" spans="1:11" s="197" customFormat="1" ht="12.75">
      <c r="C240" s="199">
        <v>2014</v>
      </c>
      <c r="D240" s="75"/>
      <c r="E240" s="75"/>
      <c r="F240" s="75">
        <f t="shared" ref="F240:F243" si="27">F214+F143</f>
        <v>2058004.5743169314</v>
      </c>
      <c r="G240" s="75">
        <f t="shared" si="26"/>
        <v>2439554.2052618768</v>
      </c>
      <c r="H240" s="75">
        <f t="shared" si="25"/>
        <v>2658899.4362997497</v>
      </c>
      <c r="I240" s="75">
        <f t="shared" si="24"/>
        <v>2795002.8289999999</v>
      </c>
      <c r="J240" s="75"/>
    </row>
    <row r="241" spans="1:11" s="197" customFormat="1" ht="12.75">
      <c r="C241" s="199">
        <v>2015</v>
      </c>
      <c r="D241" s="75"/>
      <c r="E241" s="75">
        <f t="shared" ref="E241:E244" si="28">E215+E144</f>
        <v>1476842.0497670695</v>
      </c>
      <c r="F241" s="75">
        <f t="shared" si="27"/>
        <v>2165671.4009174448</v>
      </c>
      <c r="G241" s="75">
        <f t="shared" si="26"/>
        <v>2550944.3931457726</v>
      </c>
      <c r="H241" s="75">
        <f t="shared" si="25"/>
        <v>2774496.139</v>
      </c>
      <c r="I241" s="75"/>
      <c r="J241" s="75"/>
    </row>
    <row r="242" spans="1:11" s="197" customFormat="1" ht="12.75">
      <c r="C242" s="199">
        <v>2016</v>
      </c>
      <c r="D242" s="75">
        <f>D216+D145</f>
        <v>619524.21804813459</v>
      </c>
      <c r="E242" s="75">
        <f t="shared" si="28"/>
        <v>1494113.2431479576</v>
      </c>
      <c r="F242" s="75">
        <f t="shared" si="27"/>
        <v>2167625.8186980868</v>
      </c>
      <c r="G242" s="75">
        <f t="shared" si="26"/>
        <v>2543638.1679999996</v>
      </c>
      <c r="H242" s="75"/>
      <c r="I242" s="75"/>
      <c r="J242" s="75"/>
    </row>
    <row r="243" spans="1:11" s="197" customFormat="1" ht="12.75">
      <c r="C243" s="199">
        <v>2017</v>
      </c>
      <c r="D243" s="75">
        <f t="shared" ref="D243:D245" si="29">D217+D146</f>
        <v>632357.99930844293</v>
      </c>
      <c r="E243" s="75">
        <f t="shared" si="28"/>
        <v>1508548.489627246</v>
      </c>
      <c r="F243" s="75">
        <f t="shared" si="27"/>
        <v>2173147.7960000001</v>
      </c>
      <c r="G243" s="75"/>
      <c r="H243" s="75"/>
      <c r="I243" s="75"/>
      <c r="J243" s="75"/>
    </row>
    <row r="244" spans="1:11" s="197" customFormat="1" ht="12.75">
      <c r="C244" s="199">
        <v>2018</v>
      </c>
      <c r="D244" s="75">
        <f t="shared" si="29"/>
        <v>681153.62389796833</v>
      </c>
      <c r="E244" s="75">
        <f t="shared" si="28"/>
        <v>1595882.64</v>
      </c>
      <c r="F244" s="75"/>
      <c r="G244" s="75"/>
      <c r="H244" s="75"/>
      <c r="I244" s="75"/>
      <c r="J244" s="75"/>
      <c r="K244" s="306"/>
    </row>
    <row r="245" spans="1:11" s="197" customFormat="1" ht="12.75">
      <c r="C245" s="199">
        <v>2019</v>
      </c>
      <c r="D245" s="75">
        <f t="shared" si="29"/>
        <v>720721.03600000008</v>
      </c>
      <c r="E245" s="75"/>
      <c r="F245" s="75"/>
      <c r="G245" s="75"/>
      <c r="H245" s="75"/>
      <c r="I245" s="75"/>
      <c r="J245" s="75"/>
      <c r="K245" s="306"/>
    </row>
    <row r="246" spans="1:11" s="197" customFormat="1" ht="12.75">
      <c r="E246" s="75"/>
      <c r="F246" s="75"/>
      <c r="J246" s="338"/>
    </row>
    <row r="247" spans="1:11" s="197" customFormat="1" ht="12.75">
      <c r="A247" s="239"/>
      <c r="B247" s="239" t="s">
        <v>280</v>
      </c>
      <c r="C247" s="239"/>
      <c r="D247" s="239"/>
      <c r="E247" s="239"/>
      <c r="F247" s="239"/>
      <c r="G247" s="239"/>
      <c r="H247" s="239"/>
      <c r="I247" s="239"/>
      <c r="J247" s="337"/>
    </row>
    <row r="248" spans="1:11" s="197" customFormat="1" ht="12.75">
      <c r="J248" s="338"/>
    </row>
    <row r="249" spans="1:11" s="197" customFormat="1" ht="12.75">
      <c r="C249" s="199" t="s">
        <v>203</v>
      </c>
      <c r="D249" s="533"/>
      <c r="E249" s="533"/>
      <c r="F249" s="533"/>
      <c r="G249" s="533"/>
      <c r="H249" s="533"/>
      <c r="J249" s="338"/>
    </row>
    <row r="250" spans="1:11" s="197" customFormat="1" ht="12.75">
      <c r="C250" s="26" t="s">
        <v>8</v>
      </c>
      <c r="D250" s="79" t="str">
        <f>+D235&amp;"-"&amp;E235</f>
        <v>15-27</v>
      </c>
      <c r="E250" s="79" t="str">
        <f>+E235&amp;"-"&amp;F235</f>
        <v>27-39</v>
      </c>
      <c r="F250" s="79" t="str">
        <f>+F235&amp;"-"&amp;G235</f>
        <v>39-51</v>
      </c>
      <c r="G250" s="79" t="str">
        <f>+G235&amp;"-"&amp;H235</f>
        <v>51-63</v>
      </c>
      <c r="H250" s="79" t="str">
        <f>+H235&amp;"-"&amp;I235</f>
        <v>63-75</v>
      </c>
      <c r="J250" s="338"/>
    </row>
    <row r="251" spans="1:11" s="197" customFormat="1" ht="4.5" customHeight="1">
      <c r="J251" s="338"/>
    </row>
    <row r="252" spans="1:11" s="197" customFormat="1" ht="12.75">
      <c r="C252" s="199">
        <v>2011</v>
      </c>
      <c r="D252" s="149"/>
      <c r="E252" s="149"/>
      <c r="F252" s="149"/>
      <c r="G252" s="149"/>
      <c r="H252" s="149"/>
      <c r="J252" s="338"/>
    </row>
    <row r="253" spans="1:11" s="197" customFormat="1" ht="12.75">
      <c r="C253" s="199">
        <v>2012</v>
      </c>
      <c r="D253" s="149"/>
      <c r="E253" s="149"/>
      <c r="F253" s="149"/>
      <c r="G253" s="149"/>
      <c r="H253" s="149">
        <f t="shared" ref="D253:H259" si="30">I238/H238</f>
        <v>1.0556885748526073</v>
      </c>
      <c r="J253" s="338"/>
    </row>
    <row r="254" spans="1:11" s="197" customFormat="1" ht="12.75">
      <c r="C254" s="199">
        <v>2013</v>
      </c>
      <c r="D254" s="149"/>
      <c r="E254" s="149"/>
      <c r="F254" s="149"/>
      <c r="G254" s="149">
        <f t="shared" si="30"/>
        <v>1.090583066654748</v>
      </c>
      <c r="H254" s="149">
        <f t="shared" si="30"/>
        <v>1.0483497411670524</v>
      </c>
      <c r="J254" s="338"/>
    </row>
    <row r="255" spans="1:11" s="197" customFormat="1" ht="12.75">
      <c r="C255" s="199">
        <v>2014</v>
      </c>
      <c r="D255" s="149"/>
      <c r="E255" s="149"/>
      <c r="F255" s="149">
        <f t="shared" si="30"/>
        <v>1.1853978536814402</v>
      </c>
      <c r="G255" s="149">
        <f t="shared" si="30"/>
        <v>1.0899120136641223</v>
      </c>
      <c r="H255" s="149">
        <f t="shared" si="30"/>
        <v>1.0511878677478899</v>
      </c>
      <c r="J255" s="338"/>
    </row>
    <row r="256" spans="1:11" s="197" customFormat="1" ht="12.75">
      <c r="C256" s="199">
        <v>2015</v>
      </c>
      <c r="D256" s="149"/>
      <c r="E256" s="149">
        <f t="shared" si="30"/>
        <v>1.4664204619979631</v>
      </c>
      <c r="F256" s="149">
        <f t="shared" si="30"/>
        <v>1.1779000230898899</v>
      </c>
      <c r="G256" s="149">
        <f t="shared" si="30"/>
        <v>1.0876348957095643</v>
      </c>
      <c r="H256" s="149"/>
      <c r="J256" s="338"/>
    </row>
    <row r="257" spans="1:11" s="197" customFormat="1" ht="12.75">
      <c r="C257" s="199">
        <v>2016</v>
      </c>
      <c r="D257" s="149">
        <f t="shared" si="30"/>
        <v>2.4117107929296009</v>
      </c>
      <c r="E257" s="149">
        <f t="shared" si="30"/>
        <v>1.4507774619085103</v>
      </c>
      <c r="F257" s="149">
        <f t="shared" si="30"/>
        <v>1.1734673697177829</v>
      </c>
      <c r="G257" s="149"/>
      <c r="H257" s="149"/>
      <c r="J257" s="338"/>
    </row>
    <row r="258" spans="1:11" s="197" customFormat="1" ht="12.75">
      <c r="C258" s="199">
        <v>2017</v>
      </c>
      <c r="D258" s="149">
        <f t="shared" si="30"/>
        <v>2.3855924828610049</v>
      </c>
      <c r="E258" s="149">
        <f t="shared" si="30"/>
        <v>1.4405554816053496</v>
      </c>
      <c r="F258" s="149"/>
      <c r="G258" s="149"/>
      <c r="H258" s="149"/>
      <c r="J258" s="338"/>
      <c r="K258" s="69"/>
    </row>
    <row r="259" spans="1:11" s="197" customFormat="1" ht="12.75">
      <c r="C259" s="199">
        <v>2018</v>
      </c>
      <c r="D259" s="149">
        <f t="shared" si="30"/>
        <v>2.3429114725506488</v>
      </c>
      <c r="E259" s="149"/>
      <c r="F259" s="149"/>
      <c r="G259" s="149"/>
      <c r="H259" s="149"/>
      <c r="J259" s="338"/>
      <c r="K259" s="69"/>
    </row>
    <row r="260" spans="1:11" s="197" customFormat="1" ht="12.75">
      <c r="C260" s="199"/>
      <c r="J260" s="338"/>
    </row>
    <row r="261" spans="1:11" s="197" customFormat="1" ht="12.75">
      <c r="C261" s="197" t="s">
        <v>266</v>
      </c>
      <c r="D261" s="149">
        <f>D259</f>
        <v>2.3429114725506488</v>
      </c>
      <c r="E261" s="149">
        <f>E258</f>
        <v>1.4405554816053496</v>
      </c>
      <c r="F261" s="149">
        <f>F257</f>
        <v>1.1734673697177829</v>
      </c>
      <c r="G261" s="149">
        <f>G256</f>
        <v>1.0876348957095643</v>
      </c>
      <c r="H261" s="149">
        <f>H255</f>
        <v>1.0511878677478899</v>
      </c>
      <c r="J261" s="338"/>
    </row>
    <row r="262" spans="1:11" s="197" customFormat="1" ht="12.75">
      <c r="C262" s="197" t="s">
        <v>281</v>
      </c>
      <c r="D262" s="149">
        <f>AVERAGE(D257:D259)</f>
        <v>2.3800715827804182</v>
      </c>
      <c r="E262" s="149">
        <f>AVERAGE(E256:E258)</f>
        <v>1.4525844685039411</v>
      </c>
      <c r="F262" s="149">
        <f>AVERAGE(F255:F257)</f>
        <v>1.1789217488297046</v>
      </c>
      <c r="G262" s="149">
        <f>AVERAGE(G254:G256)</f>
        <v>1.0893766586761449</v>
      </c>
      <c r="H262" s="149">
        <f>AVERAGE(H253:H255)</f>
        <v>1.0517420612558499</v>
      </c>
      <c r="J262" s="338"/>
    </row>
    <row r="263" spans="1:11" s="197" customFormat="1" ht="12.75">
      <c r="J263" s="338"/>
    </row>
    <row r="264" spans="1:11" s="197" customFormat="1" ht="12.75">
      <c r="A264" s="239"/>
      <c r="B264" s="239" t="s">
        <v>320</v>
      </c>
      <c r="C264" s="239"/>
      <c r="D264" s="239"/>
      <c r="E264" s="239"/>
      <c r="F264" s="239"/>
      <c r="G264" s="239"/>
      <c r="H264" s="239"/>
      <c r="I264" s="239"/>
      <c r="J264" s="337"/>
    </row>
    <row r="265" spans="1:11" s="197" customFormat="1" ht="12.75">
      <c r="J265" s="338"/>
    </row>
    <row r="266" spans="1:11" s="197" customFormat="1" ht="12.75">
      <c r="C266" s="199" t="s">
        <v>203</v>
      </c>
      <c r="D266" s="533"/>
      <c r="E266" s="533"/>
      <c r="F266" s="533"/>
      <c r="G266" s="533"/>
      <c r="H266" s="533"/>
      <c r="J266" s="338"/>
    </row>
    <row r="267" spans="1:11" s="197" customFormat="1" ht="12.75">
      <c r="C267" s="26" t="s">
        <v>8</v>
      </c>
      <c r="D267" s="79" t="str">
        <f>+D250</f>
        <v>15-27</v>
      </c>
      <c r="E267" s="79" t="str">
        <f>+E250</f>
        <v>27-39</v>
      </c>
      <c r="F267" s="79" t="str">
        <f>+F250</f>
        <v>39-51</v>
      </c>
      <c r="G267" s="79" t="str">
        <f>+G250</f>
        <v>51-63</v>
      </c>
      <c r="H267" s="79" t="str">
        <f>+H250</f>
        <v>63-75</v>
      </c>
      <c r="J267" s="338"/>
    </row>
    <row r="268" spans="1:11" s="197" customFormat="1" ht="4.5" customHeight="1">
      <c r="J268" s="338"/>
    </row>
    <row r="269" spans="1:11" s="197" customFormat="1" ht="12.75">
      <c r="C269" s="199">
        <v>2012</v>
      </c>
      <c r="D269" s="422"/>
      <c r="E269" s="422"/>
      <c r="F269" s="422"/>
      <c r="G269" s="422"/>
      <c r="H269" s="422">
        <v>1.0754679661801867</v>
      </c>
      <c r="J269" s="338"/>
    </row>
    <row r="270" spans="1:11" s="197" customFormat="1" ht="12.75">
      <c r="C270" s="199">
        <v>2013</v>
      </c>
      <c r="D270" s="422"/>
      <c r="E270" s="422"/>
      <c r="F270" s="422"/>
      <c r="G270" s="422">
        <v>1.1104390073974875</v>
      </c>
      <c r="H270" s="422">
        <v>1.063004575727992</v>
      </c>
      <c r="J270" s="338"/>
    </row>
    <row r="271" spans="1:11" s="197" customFormat="1" ht="12.75">
      <c r="C271" s="199">
        <v>2014</v>
      </c>
      <c r="D271" s="422"/>
      <c r="E271" s="422"/>
      <c r="F271" s="422">
        <v>1.2149483415460742</v>
      </c>
      <c r="G271" s="422">
        <v>1.108842358549998</v>
      </c>
      <c r="H271" s="422">
        <v>1.0621242930782893</v>
      </c>
      <c r="J271" s="338"/>
    </row>
    <row r="272" spans="1:11" s="197" customFormat="1" ht="12.75">
      <c r="C272" s="199">
        <v>2015</v>
      </c>
      <c r="D272" s="422"/>
      <c r="E272" s="422">
        <v>1.4755721575847598</v>
      </c>
      <c r="F272" s="422">
        <v>1.2016950789185563</v>
      </c>
      <c r="G272" s="422">
        <v>1.0999001636536376</v>
      </c>
      <c r="H272" s="422"/>
      <c r="J272" s="338"/>
    </row>
    <row r="273" spans="1:11" s="197" customFormat="1" ht="12.75">
      <c r="C273" s="199">
        <v>2016</v>
      </c>
      <c r="D273" s="422">
        <v>2.4027478919844967</v>
      </c>
      <c r="E273" s="422">
        <v>1.4594671345845229</v>
      </c>
      <c r="F273" s="422">
        <v>1.1875327261934765</v>
      </c>
      <c r="G273" s="422"/>
      <c r="H273" s="422"/>
      <c r="J273" s="338"/>
    </row>
    <row r="274" spans="1:11" s="197" customFormat="1" ht="12.75">
      <c r="C274" s="199">
        <v>2017</v>
      </c>
      <c r="D274" s="422">
        <v>2.3906215392027059</v>
      </c>
      <c r="E274" s="422">
        <v>1.4405663932964967</v>
      </c>
      <c r="F274" s="422"/>
      <c r="G274" s="422"/>
      <c r="H274" s="422"/>
      <c r="J274" s="338"/>
      <c r="K274" s="54"/>
    </row>
    <row r="275" spans="1:11" s="197" customFormat="1" ht="12.75">
      <c r="C275" s="199">
        <v>2018</v>
      </c>
      <c r="D275" s="422">
        <v>2.3432657277836784</v>
      </c>
      <c r="E275" s="422"/>
      <c r="F275" s="422"/>
      <c r="G275" s="422"/>
      <c r="H275" s="422"/>
      <c r="J275" s="338"/>
      <c r="K275" s="54"/>
    </row>
    <row r="276" spans="1:11" s="197" customFormat="1" ht="12.75">
      <c r="C276" s="199"/>
      <c r="E276" s="149"/>
      <c r="F276" s="149"/>
      <c r="J276" s="338"/>
    </row>
    <row r="277" spans="1:11" s="338" customFormat="1" ht="12.75">
      <c r="C277" s="286"/>
      <c r="E277" s="149"/>
      <c r="F277" s="149"/>
    </row>
    <row r="278" spans="1:11" s="338" customFormat="1" ht="12.75">
      <c r="C278" s="286"/>
      <c r="E278" s="149"/>
      <c r="F278" s="149"/>
    </row>
    <row r="279" spans="1:11" s="197" customFormat="1" ht="26.25" customHeight="1">
      <c r="A279" s="148" t="s">
        <v>174</v>
      </c>
      <c r="B279" s="534" t="s">
        <v>282</v>
      </c>
      <c r="C279" s="534"/>
      <c r="D279" s="534"/>
      <c r="E279" s="534"/>
      <c r="F279" s="534"/>
      <c r="G279" s="534"/>
      <c r="H279" s="534"/>
      <c r="I279" s="534"/>
      <c r="J279" s="534"/>
      <c r="K279" s="249"/>
    </row>
    <row r="280" spans="1:11" s="197" customFormat="1" ht="37.5" customHeight="1">
      <c r="A280" s="148" t="s">
        <v>98</v>
      </c>
      <c r="B280" s="534" t="s">
        <v>283</v>
      </c>
      <c r="C280" s="534"/>
      <c r="D280" s="534"/>
      <c r="E280" s="534"/>
      <c r="F280" s="534"/>
      <c r="G280" s="534"/>
      <c r="H280" s="534"/>
      <c r="I280" s="534"/>
      <c r="J280" s="534"/>
      <c r="K280" s="249"/>
    </row>
    <row r="281" spans="1:11" s="197" customFormat="1" ht="12.75">
      <c r="J281" s="338"/>
    </row>
    <row r="282" spans="1:11" s="197" customFormat="1" ht="12.75">
      <c r="B282" s="342" t="s">
        <v>287</v>
      </c>
      <c r="C282" s="342"/>
      <c r="D282" s="342"/>
      <c r="E282" s="342"/>
      <c r="F282" s="342"/>
      <c r="G282" s="342"/>
      <c r="H282" s="342"/>
      <c r="I282" s="342"/>
      <c r="J282" s="338"/>
    </row>
    <row r="283" spans="1:11" s="201" customFormat="1" ht="45" customHeight="1">
      <c r="K283" s="148" t="s">
        <v>389</v>
      </c>
    </row>
    <row r="284" spans="1:11" s="197" customFormat="1" ht="13.15">
      <c r="A284" s="279" t="s">
        <v>31</v>
      </c>
      <c r="B284" s="279"/>
      <c r="C284" s="279"/>
      <c r="D284" s="279"/>
      <c r="E284" s="279"/>
      <c r="F284" s="279"/>
      <c r="G284" s="279"/>
      <c r="H284" s="279"/>
      <c r="I284" s="279"/>
      <c r="J284" s="279"/>
      <c r="K284" s="279"/>
    </row>
    <row r="285" spans="1:11" s="197" customFormat="1" ht="13.15">
      <c r="A285" s="279" t="s">
        <v>262</v>
      </c>
      <c r="B285" s="279"/>
      <c r="C285" s="279"/>
      <c r="D285" s="279"/>
      <c r="E285" s="279"/>
      <c r="F285" s="279"/>
      <c r="G285" s="279"/>
      <c r="H285" s="279"/>
      <c r="I285" s="279"/>
      <c r="J285" s="279"/>
      <c r="K285" s="279"/>
    </row>
    <row r="286" spans="1:11" s="197" customFormat="1" ht="13.15">
      <c r="A286" s="279" t="s">
        <v>263</v>
      </c>
      <c r="B286" s="279"/>
      <c r="C286" s="279"/>
      <c r="D286" s="279"/>
      <c r="E286" s="279"/>
      <c r="F286" s="279"/>
      <c r="G286" s="279"/>
      <c r="H286" s="279"/>
      <c r="I286" s="279"/>
      <c r="J286" s="279"/>
      <c r="K286" s="279"/>
    </row>
    <row r="287" spans="1:11" s="197" customFormat="1" ht="12.6" customHeight="1">
      <c r="A287" s="195"/>
      <c r="B287" s="195"/>
      <c r="C287" s="195"/>
      <c r="D287" s="195"/>
      <c r="E287" s="195"/>
      <c r="F287" s="195"/>
      <c r="G287" s="195"/>
      <c r="H287" s="195"/>
      <c r="I287" s="195"/>
      <c r="J287" s="340"/>
      <c r="K287" s="195"/>
    </row>
    <row r="288" spans="1:11" s="197" customFormat="1" ht="12.6" customHeight="1">
      <c r="J288" s="338"/>
    </row>
    <row r="289" spans="1:11" s="197" customFormat="1" ht="31.9" customHeight="1">
      <c r="A289" s="239"/>
      <c r="B289" s="239" t="s">
        <v>321</v>
      </c>
      <c r="C289" s="239"/>
      <c r="D289" s="239"/>
      <c r="E289" s="239"/>
      <c r="F289" s="239"/>
      <c r="G289" s="239"/>
      <c r="H289" s="239"/>
      <c r="J289" s="338"/>
    </row>
    <row r="290" spans="1:11" s="197" customFormat="1" ht="28.15" customHeight="1">
      <c r="J290" s="338"/>
    </row>
    <row r="291" spans="1:11" s="197" customFormat="1" ht="12.75">
      <c r="C291" s="199" t="s">
        <v>203</v>
      </c>
      <c r="D291" s="533"/>
      <c r="E291" s="533"/>
      <c r="F291" s="533"/>
      <c r="G291" s="533"/>
      <c r="H291" s="533"/>
      <c r="I291" s="61"/>
      <c r="J291" s="341"/>
    </row>
    <row r="292" spans="1:11" s="197" customFormat="1" ht="12.75">
      <c r="C292" s="26" t="s">
        <v>8</v>
      </c>
      <c r="D292" s="79" t="str">
        <f>D267</f>
        <v>15-27</v>
      </c>
      <c r="E292" s="79" t="str">
        <f>E267</f>
        <v>27-39</v>
      </c>
      <c r="F292" s="79" t="str">
        <f>F267</f>
        <v>39-51</v>
      </c>
      <c r="G292" s="79" t="str">
        <f>G267</f>
        <v>51-63</v>
      </c>
      <c r="H292" s="79" t="str">
        <f>H267</f>
        <v>63-75</v>
      </c>
      <c r="J292" s="338"/>
      <c r="K292" s="26"/>
    </row>
    <row r="293" spans="1:11" s="197" customFormat="1" ht="4.5" customHeight="1">
      <c r="J293" s="338"/>
    </row>
    <row r="294" spans="1:11" s="197" customFormat="1" ht="12.75">
      <c r="C294" s="199">
        <v>2012</v>
      </c>
      <c r="D294" s="151"/>
      <c r="E294" s="151"/>
      <c r="F294" s="151"/>
      <c r="G294" s="151"/>
      <c r="H294" s="307">
        <f>H253/H269-1</f>
        <v>-1.8391427685039541E-2</v>
      </c>
      <c r="J294" s="338"/>
      <c r="K294" s="146"/>
    </row>
    <row r="295" spans="1:11" s="197" customFormat="1" ht="12.75">
      <c r="C295" s="199">
        <v>2013</v>
      </c>
      <c r="D295" s="151"/>
      <c r="E295" s="151"/>
      <c r="F295" s="151"/>
      <c r="G295" s="307">
        <f>G254/G270-1</f>
        <v>-1.7881162864834321E-2</v>
      </c>
      <c r="H295" s="307">
        <f t="shared" ref="H295" si="31">H254/H270-1</f>
        <v>-1.3786238456126476E-2</v>
      </c>
      <c r="J295" s="338"/>
      <c r="K295" s="146"/>
    </row>
    <row r="296" spans="1:11" s="197" customFormat="1" ht="12.75">
      <c r="C296" s="199">
        <v>2014</v>
      </c>
      <c r="D296" s="151"/>
      <c r="E296" s="151"/>
      <c r="F296" s="307">
        <f>F255/F271-1</f>
        <v>-2.4322423311455177E-2</v>
      </c>
      <c r="G296" s="307">
        <f t="shared" ref="G296:H296" si="32">G255/G271-1</f>
        <v>-1.7072169673090776E-2</v>
      </c>
      <c r="H296" s="307">
        <f t="shared" si="32"/>
        <v>-1.0296747190202238E-2</v>
      </c>
      <c r="J296" s="338"/>
      <c r="K296" s="146"/>
    </row>
    <row r="297" spans="1:11" s="197" customFormat="1" ht="12.75">
      <c r="C297" s="199">
        <v>2015</v>
      </c>
      <c r="D297" s="151"/>
      <c r="E297" s="307">
        <f>E256/E272-1</f>
        <v>-6.202133551893807E-3</v>
      </c>
      <c r="F297" s="307">
        <f t="shared" ref="F297:G297" si="33">F256/F272-1</f>
        <v>-1.9801242633098126E-2</v>
      </c>
      <c r="G297" s="307">
        <f t="shared" si="33"/>
        <v>-1.1151255676997707E-2</v>
      </c>
      <c r="H297" s="151"/>
      <c r="J297" s="338"/>
      <c r="K297" s="307"/>
    </row>
    <row r="298" spans="1:11" s="197" customFormat="1" ht="12.75">
      <c r="C298" s="199">
        <v>2016</v>
      </c>
      <c r="D298" s="307">
        <f>D257/D273-1</f>
        <v>3.7302710679736339E-3</v>
      </c>
      <c r="E298" s="307">
        <f t="shared" ref="D298:E300" si="34">E257/E273-1</f>
        <v>-5.9540036703097377E-3</v>
      </c>
      <c r="F298" s="307">
        <f t="shared" ref="F298" si="35">F257/F273-1</f>
        <v>-1.1844184303685501E-2</v>
      </c>
      <c r="G298" s="151"/>
      <c r="H298" s="151"/>
      <c r="J298" s="338"/>
      <c r="K298" s="307"/>
    </row>
    <row r="299" spans="1:11" s="197" customFormat="1" ht="12.75">
      <c r="C299" s="199">
        <v>2017</v>
      </c>
      <c r="D299" s="307">
        <f t="shared" si="34"/>
        <v>-2.1036606000707225E-3</v>
      </c>
      <c r="E299" s="307">
        <f t="shared" si="34"/>
        <v>-7.574583995473283E-6</v>
      </c>
      <c r="F299" s="151"/>
      <c r="G299" s="151"/>
      <c r="H299" s="151"/>
      <c r="J299" s="338"/>
      <c r="K299" s="307"/>
    </row>
    <row r="300" spans="1:11" s="197" customFormat="1" ht="12.75">
      <c r="C300" s="199">
        <v>2018</v>
      </c>
      <c r="D300" s="307">
        <f t="shared" si="34"/>
        <v>-1.5118013669090935E-4</v>
      </c>
      <c r="E300" s="151"/>
      <c r="F300" s="151"/>
      <c r="G300" s="151"/>
      <c r="H300" s="151"/>
      <c r="J300" s="338"/>
      <c r="K300" s="307"/>
    </row>
    <row r="301" spans="1:11" s="197" customFormat="1" ht="35.450000000000003" customHeight="1">
      <c r="C301" s="199"/>
      <c r="E301" s="151"/>
      <c r="F301" s="151"/>
      <c r="G301" s="151"/>
      <c r="H301" s="151"/>
      <c r="J301" s="338"/>
      <c r="K301" s="146"/>
    </row>
    <row r="302" spans="1:11" s="197" customFormat="1" ht="12.75" customHeight="1">
      <c r="A302" s="353"/>
      <c r="B302" s="359" t="s">
        <v>416</v>
      </c>
      <c r="C302" s="353"/>
      <c r="D302" s="353"/>
      <c r="E302" s="353"/>
      <c r="F302" s="353"/>
      <c r="G302" s="353"/>
      <c r="H302" s="256"/>
      <c r="I302" s="194"/>
      <c r="J302" s="337"/>
      <c r="K302" s="194"/>
    </row>
    <row r="303" spans="1:11" s="351" customFormat="1" ht="12.75" customHeight="1">
      <c r="A303" s="353"/>
      <c r="B303" s="359" t="s">
        <v>415</v>
      </c>
      <c r="C303" s="353"/>
      <c r="D303" s="353"/>
      <c r="E303" s="353"/>
      <c r="F303" s="353"/>
      <c r="G303" s="353"/>
      <c r="H303" s="353"/>
      <c r="I303" s="350"/>
      <c r="J303" s="350"/>
      <c r="K303" s="350"/>
    </row>
    <row r="304" spans="1:11" s="197" customFormat="1" ht="28.15" customHeight="1">
      <c r="B304" s="194"/>
      <c r="C304" s="194"/>
      <c r="D304" s="194"/>
      <c r="E304" s="194"/>
      <c r="F304" s="194"/>
      <c r="G304" s="194"/>
      <c r="H304" s="194"/>
      <c r="J304" s="338"/>
    </row>
    <row r="305" spans="3:10" s="197" customFormat="1" ht="12.75">
      <c r="C305" s="199" t="s">
        <v>203</v>
      </c>
      <c r="D305" s="533"/>
      <c r="E305" s="533"/>
      <c r="F305" s="533"/>
      <c r="G305" s="533"/>
      <c r="H305" s="533"/>
      <c r="J305" s="338"/>
    </row>
    <row r="306" spans="3:10" s="197" customFormat="1" ht="12.75">
      <c r="C306" s="26" t="s">
        <v>8</v>
      </c>
      <c r="D306" s="79" t="str">
        <f>D292</f>
        <v>15-27</v>
      </c>
      <c r="E306" s="79" t="str">
        <f>E292</f>
        <v>27-39</v>
      </c>
      <c r="F306" s="79" t="str">
        <f>F292</f>
        <v>39-51</v>
      </c>
      <c r="G306" s="79" t="str">
        <f>G292</f>
        <v>51-63</v>
      </c>
      <c r="H306" s="79" t="str">
        <f>H292</f>
        <v>63-75</v>
      </c>
      <c r="J306" s="338"/>
    </row>
    <row r="307" spans="3:10" s="197" customFormat="1" ht="4.5" customHeight="1">
      <c r="J307" s="338"/>
    </row>
    <row r="308" spans="3:10" s="197" customFormat="1" ht="12.75">
      <c r="C308" s="199">
        <v>2012</v>
      </c>
      <c r="D308" s="420"/>
      <c r="E308" s="420"/>
      <c r="F308" s="420"/>
      <c r="G308" s="420"/>
      <c r="H308" s="421">
        <v>1.0552292152385825</v>
      </c>
      <c r="J308" s="338"/>
    </row>
    <row r="309" spans="3:10" s="197" customFormat="1" ht="12.75">
      <c r="C309" s="199">
        <v>2013</v>
      </c>
      <c r="D309" s="420"/>
      <c r="E309" s="420"/>
      <c r="F309" s="420"/>
      <c r="G309" s="421">
        <v>1.0911340280571691</v>
      </c>
      <c r="H309" s="421">
        <v>1.0483452285211374</v>
      </c>
      <c r="J309" s="338"/>
    </row>
    <row r="310" spans="3:10" s="197" customFormat="1" ht="12.75">
      <c r="C310" s="199">
        <v>2014</v>
      </c>
      <c r="D310" s="420"/>
      <c r="E310" s="420"/>
      <c r="F310" s="421">
        <v>1.185448255676582</v>
      </c>
      <c r="G310" s="421">
        <v>1.0900669638325424</v>
      </c>
      <c r="H310" s="421">
        <v>1.0510648544840053</v>
      </c>
      <c r="J310" s="338"/>
    </row>
    <row r="311" spans="3:10" s="197" customFormat="1" ht="12.75">
      <c r="C311" s="199">
        <v>2015</v>
      </c>
      <c r="D311" s="420"/>
      <c r="E311" s="421">
        <v>1.4668456508774048</v>
      </c>
      <c r="F311" s="421">
        <v>1.178198906355016</v>
      </c>
      <c r="G311" s="421">
        <v>1.0877336187553026</v>
      </c>
      <c r="H311" s="420"/>
      <c r="J311" s="338"/>
    </row>
    <row r="312" spans="3:10" s="197" customFormat="1" ht="12.75">
      <c r="C312" s="199">
        <v>2016</v>
      </c>
      <c r="D312" s="420">
        <v>2.4119638413763407</v>
      </c>
      <c r="E312" s="421">
        <v>1.4503131086450181</v>
      </c>
      <c r="F312" s="421">
        <v>1.1739291090472215</v>
      </c>
      <c r="G312" s="420"/>
      <c r="H312" s="420"/>
      <c r="J312" s="338"/>
    </row>
    <row r="313" spans="3:10" s="197" customFormat="1" ht="12.75">
      <c r="C313" s="199">
        <v>2017</v>
      </c>
      <c r="D313" s="421">
        <v>2.3848738074248104</v>
      </c>
      <c r="E313" s="421">
        <v>1.4410485667277957</v>
      </c>
      <c r="F313" s="420"/>
      <c r="G313" s="420"/>
      <c r="H313" s="420"/>
      <c r="J313" s="338"/>
    </row>
    <row r="314" spans="3:10" s="197" customFormat="1" ht="12.75">
      <c r="C314" s="199">
        <v>2018</v>
      </c>
      <c r="D314" s="421">
        <v>2.3446454825794598</v>
      </c>
      <c r="E314" s="420"/>
      <c r="F314" s="420"/>
      <c r="G314" s="420"/>
      <c r="H314" s="420"/>
      <c r="J314" s="338"/>
    </row>
    <row r="315" spans="3:10" s="197" customFormat="1" ht="12.75">
      <c r="C315" s="199"/>
      <c r="J315" s="338"/>
    </row>
    <row r="316" spans="3:10" s="197" customFormat="1" ht="12.75">
      <c r="C316" s="197" t="s">
        <v>266</v>
      </c>
      <c r="D316" s="149">
        <f>D314</f>
        <v>2.3446454825794598</v>
      </c>
      <c r="E316" s="149">
        <f>E313</f>
        <v>1.4410485667277957</v>
      </c>
      <c r="F316" s="149">
        <f>F312</f>
        <v>1.1739291090472215</v>
      </c>
      <c r="G316" s="149">
        <f>G311</f>
        <v>1.0877336187553026</v>
      </c>
      <c r="H316" s="149">
        <f>H310</f>
        <v>1.0510648544840053</v>
      </c>
      <c r="J316" s="338"/>
    </row>
    <row r="317" spans="3:10" s="197" customFormat="1" ht="12.75">
      <c r="C317" s="197" t="s">
        <v>281</v>
      </c>
      <c r="D317" s="149">
        <f>AVERAGE(D312:D314)</f>
        <v>2.3804943771268703</v>
      </c>
      <c r="E317" s="149">
        <f>AVERAGE(E311:E313)</f>
        <v>1.4527357754167394</v>
      </c>
      <c r="F317" s="149">
        <f>AVERAGE(F310:F312)</f>
        <v>1.1791920903596065</v>
      </c>
      <c r="G317" s="149">
        <f>AVERAGE(G309:G311)</f>
        <v>1.0896448702150046</v>
      </c>
      <c r="H317" s="149">
        <f>AVERAGE(H308:H310)</f>
        <v>1.0515464327479085</v>
      </c>
      <c r="J317" s="338"/>
    </row>
    <row r="318" spans="3:10" s="197" customFormat="1" ht="12.75">
      <c r="D318" s="149"/>
      <c r="E318" s="149"/>
      <c r="F318" s="149"/>
      <c r="G318" s="149"/>
      <c r="H318" s="149"/>
      <c r="J318" s="338"/>
    </row>
    <row r="319" spans="3:10" s="338" customFormat="1" ht="12.75">
      <c r="D319" s="149"/>
      <c r="E319" s="149"/>
      <c r="F319" s="149"/>
      <c r="G319" s="149"/>
      <c r="H319" s="149"/>
    </row>
    <row r="320" spans="3:10" s="338" customFormat="1" ht="12.75">
      <c r="D320" s="149"/>
      <c r="E320" s="149"/>
      <c r="F320" s="149"/>
      <c r="G320" s="149"/>
      <c r="H320" s="149"/>
    </row>
    <row r="321" spans="1:11" s="197" customFormat="1" ht="12.75" customHeight="1">
      <c r="A321" s="148" t="s">
        <v>284</v>
      </c>
      <c r="B321" s="36" t="s">
        <v>285</v>
      </c>
      <c r="C321" s="36"/>
      <c r="D321" s="36"/>
      <c r="E321" s="36"/>
      <c r="F321" s="36"/>
      <c r="G321" s="36"/>
      <c r="H321" s="36"/>
      <c r="I321" s="36"/>
      <c r="J321" s="336"/>
    </row>
    <row r="322" spans="1:11" s="197" customFormat="1" ht="12.75" customHeight="1">
      <c r="A322" s="148" t="s">
        <v>286</v>
      </c>
      <c r="B322" s="36" t="s">
        <v>398</v>
      </c>
      <c r="C322" s="339"/>
      <c r="D322" s="339"/>
      <c r="E322" s="339"/>
      <c r="F322" s="339"/>
      <c r="G322" s="339"/>
      <c r="H322" s="339"/>
      <c r="I322" s="339"/>
      <c r="J322" s="339"/>
    </row>
    <row r="323" spans="1:11" s="197" customFormat="1" ht="12.75" customHeight="1">
      <c r="A323" s="200"/>
      <c r="B323" s="200" t="s">
        <v>399</v>
      </c>
      <c r="C323" s="200"/>
      <c r="D323" s="153"/>
      <c r="E323" s="153"/>
      <c r="F323" s="153"/>
      <c r="G323" s="153"/>
      <c r="H323" s="153"/>
      <c r="I323" s="200"/>
      <c r="J323" s="272"/>
      <c r="K323" s="200"/>
    </row>
    <row r="324" spans="1:11" s="338" customFormat="1" ht="12.75" customHeight="1">
      <c r="A324" s="272"/>
      <c r="B324" s="272"/>
      <c r="C324" s="272"/>
      <c r="D324" s="153"/>
      <c r="E324" s="153"/>
      <c r="F324" s="153"/>
      <c r="G324" s="153"/>
      <c r="H324" s="153"/>
      <c r="I324" s="272"/>
      <c r="J324" s="272"/>
      <c r="K324" s="272"/>
    </row>
    <row r="325" spans="1:11" s="197" customFormat="1" ht="12.75" customHeight="1">
      <c r="B325" s="200" t="s">
        <v>287</v>
      </c>
      <c r="C325" s="61"/>
      <c r="D325" s="62"/>
      <c r="E325" s="62"/>
      <c r="F325" s="62"/>
      <c r="G325" s="62"/>
      <c r="H325" s="62"/>
      <c r="I325" s="200"/>
      <c r="J325" s="272"/>
      <c r="K325" s="200"/>
    </row>
  </sheetData>
  <mergeCells count="31">
    <mergeCell ref="B222:J222"/>
    <mergeCell ref="D234:I234"/>
    <mergeCell ref="D249:H249"/>
    <mergeCell ref="B223:J223"/>
    <mergeCell ref="B221:J221"/>
    <mergeCell ref="D194:I194"/>
    <mergeCell ref="D152:I152"/>
    <mergeCell ref="B168:I168"/>
    <mergeCell ref="D208:I208"/>
    <mergeCell ref="A6:I6"/>
    <mergeCell ref="D9:I9"/>
    <mergeCell ref="D66:I66"/>
    <mergeCell ref="D81:I81"/>
    <mergeCell ref="A22:I22"/>
    <mergeCell ref="D24:I24"/>
    <mergeCell ref="A42:I42"/>
    <mergeCell ref="D44:I44"/>
    <mergeCell ref="B57:I57"/>
    <mergeCell ref="D96:I96"/>
    <mergeCell ref="D178:I178"/>
    <mergeCell ref="D122:I122"/>
    <mergeCell ref="D266:H266"/>
    <mergeCell ref="D305:H305"/>
    <mergeCell ref="D291:H291"/>
    <mergeCell ref="B279:J279"/>
    <mergeCell ref="B280:J280"/>
    <mergeCell ref="D137:I137"/>
    <mergeCell ref="B110:J110"/>
    <mergeCell ref="B111:J111"/>
    <mergeCell ref="B167:J167"/>
    <mergeCell ref="B166:J166"/>
  </mergeCells>
  <printOptions horizontalCentered="1"/>
  <pageMargins left="0.25" right="0.25" top="0.33" bottom="0.5" header="0.2" footer="0.3"/>
  <pageSetup scale="85" fitToHeight="6" orientation="portrait" blackAndWhite="1" horizontalDpi="1200" verticalDpi="1200" r:id="rId1"/>
  <headerFooter scaleWithDoc="0"/>
  <rowBreaks count="5" manualBreakCount="5">
    <brk id="57" max="10" man="1"/>
    <brk id="113" max="10" man="1"/>
    <brk id="169" max="10" man="1"/>
    <brk id="225" max="10" man="1"/>
    <brk id="282"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zoomScaleNormal="100" zoomScaleSheetLayoutView="100" workbookViewId="0"/>
  </sheetViews>
  <sheetFormatPr defaultRowHeight="14.25"/>
  <cols>
    <col min="1" max="1" width="6.73046875" customWidth="1"/>
    <col min="2" max="2" width="13.73046875" customWidth="1"/>
    <col min="3" max="12" width="8.73046875" customWidth="1"/>
    <col min="13" max="13" width="8.73046875" bestFit="1" customWidth="1"/>
  </cols>
  <sheetData>
    <row r="1" spans="1:13">
      <c r="A1" s="399"/>
      <c r="B1" s="399"/>
      <c r="C1" s="399"/>
      <c r="D1" s="399"/>
      <c r="E1" s="399"/>
      <c r="F1" s="399"/>
      <c r="G1" s="399"/>
      <c r="H1" s="399"/>
      <c r="I1" s="399"/>
      <c r="J1" s="399"/>
      <c r="K1" s="399"/>
      <c r="L1" s="399"/>
      <c r="M1" s="148" t="s">
        <v>422</v>
      </c>
    </row>
    <row r="2" spans="1:13">
      <c r="A2" s="279" t="s">
        <v>428</v>
      </c>
      <c r="B2" s="279"/>
      <c r="C2" s="279"/>
      <c r="D2" s="279"/>
      <c r="E2" s="279"/>
      <c r="F2" s="279"/>
      <c r="G2" s="279"/>
      <c r="H2" s="279"/>
      <c r="I2" s="279"/>
      <c r="J2" s="279"/>
      <c r="K2" s="279"/>
      <c r="L2" s="279"/>
      <c r="M2" s="279"/>
    </row>
    <row r="3" spans="1:13">
      <c r="A3" s="279" t="s">
        <v>429</v>
      </c>
      <c r="B3" s="279"/>
      <c r="C3" s="279"/>
      <c r="D3" s="279"/>
      <c r="E3" s="279"/>
      <c r="F3" s="279"/>
      <c r="G3" s="279"/>
      <c r="H3" s="279"/>
      <c r="I3" s="279"/>
      <c r="J3" s="279"/>
      <c r="K3" s="279"/>
      <c r="L3" s="279"/>
      <c r="M3" s="279"/>
    </row>
    <row r="4" spans="1:13">
      <c r="A4" s="279" t="s">
        <v>430</v>
      </c>
      <c r="B4" s="279"/>
      <c r="C4" s="279"/>
      <c r="D4" s="279"/>
      <c r="E4" s="279"/>
      <c r="F4" s="279"/>
      <c r="G4" s="279"/>
      <c r="H4" s="279"/>
      <c r="I4" s="279"/>
      <c r="J4" s="279"/>
      <c r="K4" s="279"/>
      <c r="L4" s="279"/>
      <c r="M4" s="279"/>
    </row>
    <row r="5" spans="1:13">
      <c r="A5" s="279"/>
      <c r="B5" s="279"/>
      <c r="C5" s="279"/>
      <c r="D5" s="279"/>
      <c r="E5" s="279"/>
      <c r="F5" s="279"/>
      <c r="G5" s="279"/>
      <c r="H5" s="279"/>
      <c r="I5" s="279"/>
      <c r="J5" s="279"/>
      <c r="K5" s="279"/>
      <c r="L5" s="279"/>
      <c r="M5" s="279"/>
    </row>
    <row r="6" spans="1:13">
      <c r="A6" s="279"/>
      <c r="B6" s="279"/>
      <c r="C6" s="279"/>
      <c r="D6" s="279"/>
      <c r="E6" s="279"/>
      <c r="F6" s="279"/>
      <c r="G6" s="279"/>
      <c r="H6" s="279"/>
      <c r="I6" s="279"/>
      <c r="J6" s="279"/>
      <c r="K6" s="279"/>
      <c r="L6" s="279"/>
      <c r="M6" s="279"/>
    </row>
    <row r="7" spans="1:13">
      <c r="A7" s="392"/>
      <c r="B7" s="392"/>
      <c r="C7" s="392"/>
      <c r="D7" s="392"/>
      <c r="E7" s="392"/>
      <c r="F7" s="392"/>
      <c r="G7" s="392"/>
      <c r="H7" s="392"/>
      <c r="I7" s="392"/>
      <c r="J7" s="392"/>
      <c r="K7" s="392"/>
      <c r="L7" s="392"/>
      <c r="M7" s="399"/>
    </row>
    <row r="8" spans="1:13">
      <c r="A8" s="393" t="s">
        <v>439</v>
      </c>
      <c r="B8" s="393"/>
      <c r="C8" s="393"/>
      <c r="D8" s="393"/>
      <c r="E8" s="393"/>
      <c r="F8" s="393"/>
      <c r="G8" s="393"/>
      <c r="H8" s="393"/>
      <c r="I8" s="393"/>
      <c r="J8" s="393"/>
      <c r="K8" s="393"/>
      <c r="L8" s="393"/>
      <c r="M8" s="399"/>
    </row>
    <row r="9" spans="1:13">
      <c r="A9" s="392"/>
      <c r="B9" s="392"/>
      <c r="C9" s="392"/>
      <c r="D9" s="392"/>
      <c r="E9" s="392"/>
      <c r="F9" s="392"/>
      <c r="G9" s="392"/>
      <c r="H9" s="392"/>
      <c r="I9" s="392"/>
      <c r="J9" s="392"/>
      <c r="K9" s="392"/>
      <c r="L9" s="392"/>
      <c r="M9" s="399"/>
    </row>
    <row r="10" spans="1:13">
      <c r="A10" s="392"/>
      <c r="B10" s="286" t="s">
        <v>203</v>
      </c>
      <c r="C10" s="396" t="s">
        <v>311</v>
      </c>
      <c r="D10" s="400"/>
      <c r="E10" s="400"/>
      <c r="F10" s="400"/>
      <c r="G10" s="400"/>
      <c r="H10" s="400"/>
      <c r="I10" s="400"/>
      <c r="J10" s="400"/>
      <c r="K10" s="400"/>
      <c r="L10" s="400"/>
      <c r="M10" s="399"/>
    </row>
    <row r="11" spans="1:13">
      <c r="A11" s="392"/>
      <c r="B11" s="26" t="s">
        <v>8</v>
      </c>
      <c r="C11" s="79">
        <v>267</v>
      </c>
      <c r="D11" s="79">
        <f>+C11+12</f>
        <v>279</v>
      </c>
      <c r="E11" s="79">
        <f>+D11+12</f>
        <v>291</v>
      </c>
      <c r="F11" s="79">
        <f>+E11+12</f>
        <v>303</v>
      </c>
      <c r="G11" s="79">
        <f>+F11+12</f>
        <v>315</v>
      </c>
      <c r="H11" s="79">
        <f t="shared" ref="H11:L11" si="0">+G11+12</f>
        <v>327</v>
      </c>
      <c r="I11" s="79">
        <f t="shared" si="0"/>
        <v>339</v>
      </c>
      <c r="J11" s="79">
        <f t="shared" si="0"/>
        <v>351</v>
      </c>
      <c r="K11" s="79">
        <f t="shared" si="0"/>
        <v>363</v>
      </c>
      <c r="L11" s="79">
        <f t="shared" si="0"/>
        <v>375</v>
      </c>
      <c r="M11" s="399"/>
    </row>
    <row r="12" spans="1:13">
      <c r="A12" s="392"/>
      <c r="B12" s="286">
        <f t="shared" ref="B12:B14" si="1">B13-1</f>
        <v>1989</v>
      </c>
      <c r="C12" s="417"/>
      <c r="D12" s="417"/>
      <c r="E12" s="417"/>
      <c r="F12" s="417"/>
      <c r="G12" s="417"/>
      <c r="H12" s="417"/>
      <c r="I12" s="417">
        <v>211437.86395206006</v>
      </c>
      <c r="J12" s="417">
        <v>211538.00028355521</v>
      </c>
      <c r="K12" s="417">
        <v>211598</v>
      </c>
      <c r="L12" s="417">
        <v>211661</v>
      </c>
      <c r="M12" s="399"/>
    </row>
    <row r="13" spans="1:13">
      <c r="A13" s="392"/>
      <c r="B13" s="286">
        <f t="shared" si="1"/>
        <v>1990</v>
      </c>
      <c r="C13" s="417"/>
      <c r="D13" s="417"/>
      <c r="E13" s="417"/>
      <c r="F13" s="417"/>
      <c r="G13" s="417"/>
      <c r="H13" s="417">
        <v>231756.83843479384</v>
      </c>
      <c r="I13" s="417">
        <v>231869</v>
      </c>
      <c r="J13" s="417">
        <v>231957</v>
      </c>
      <c r="K13" s="417">
        <v>232056</v>
      </c>
      <c r="L13" s="417"/>
      <c r="M13" s="399"/>
    </row>
    <row r="14" spans="1:13">
      <c r="A14" s="392"/>
      <c r="B14" s="286">
        <f t="shared" si="1"/>
        <v>1991</v>
      </c>
      <c r="C14" s="417"/>
      <c r="D14" s="417"/>
      <c r="E14" s="417"/>
      <c r="F14" s="417"/>
      <c r="G14" s="417">
        <v>232417.93462581132</v>
      </c>
      <c r="H14" s="417">
        <v>232507.00818424876</v>
      </c>
      <c r="I14" s="417">
        <v>232625.99999999997</v>
      </c>
      <c r="J14" s="417">
        <v>232704</v>
      </c>
      <c r="K14" s="417"/>
      <c r="L14" s="417"/>
      <c r="M14" s="399"/>
    </row>
    <row r="15" spans="1:13">
      <c r="A15" s="392"/>
      <c r="B15" s="286">
        <f t="shared" ref="B15:B21" si="2">B16-1</f>
        <v>1992</v>
      </c>
      <c r="C15" s="417"/>
      <c r="D15" s="417"/>
      <c r="E15" s="417"/>
      <c r="F15" s="417">
        <v>182997.03486093457</v>
      </c>
      <c r="G15" s="417">
        <v>183082.05253135896</v>
      </c>
      <c r="H15" s="417">
        <v>183165</v>
      </c>
      <c r="I15" s="417">
        <v>183241</v>
      </c>
      <c r="J15" s="417"/>
      <c r="K15" s="417"/>
      <c r="L15" s="417"/>
      <c r="M15" s="399"/>
    </row>
    <row r="16" spans="1:13">
      <c r="A16" s="392"/>
      <c r="B16" s="286">
        <f t="shared" si="2"/>
        <v>1993</v>
      </c>
      <c r="C16" s="417"/>
      <c r="D16" s="417"/>
      <c r="E16" s="417">
        <v>143186.02658248215</v>
      </c>
      <c r="F16" s="417">
        <v>143276.06621547212</v>
      </c>
      <c r="G16" s="417">
        <v>143371</v>
      </c>
      <c r="H16" s="417">
        <v>143442</v>
      </c>
      <c r="I16" s="417"/>
      <c r="J16" s="417"/>
      <c r="K16" s="417"/>
      <c r="L16" s="417"/>
      <c r="M16" s="399"/>
    </row>
    <row r="17" spans="1:13">
      <c r="A17" s="392"/>
      <c r="B17" s="286">
        <f t="shared" si="2"/>
        <v>1994</v>
      </c>
      <c r="C17" s="417"/>
      <c r="D17" s="417">
        <v>130504.06878902898</v>
      </c>
      <c r="E17" s="417">
        <v>130610.08102984345</v>
      </c>
      <c r="F17" s="417">
        <v>130716</v>
      </c>
      <c r="G17" s="417">
        <v>130788</v>
      </c>
      <c r="H17" s="417"/>
      <c r="I17" s="417"/>
      <c r="J17" s="417"/>
      <c r="K17" s="417"/>
      <c r="L17" s="417"/>
      <c r="M17" s="399"/>
    </row>
    <row r="18" spans="1:13">
      <c r="A18" s="392"/>
      <c r="B18" s="286">
        <f t="shared" si="2"/>
        <v>1995</v>
      </c>
      <c r="C18" s="417">
        <v>121594.07958309304</v>
      </c>
      <c r="D18" s="417">
        <v>121742.10402728585</v>
      </c>
      <c r="E18" s="417">
        <v>121864</v>
      </c>
      <c r="F18" s="417">
        <v>121963</v>
      </c>
      <c r="G18" s="417"/>
      <c r="H18" s="417"/>
      <c r="I18" s="417"/>
      <c r="J18" s="417"/>
      <c r="K18" s="417"/>
      <c r="L18" s="417"/>
      <c r="M18" s="399"/>
    </row>
    <row r="19" spans="1:13">
      <c r="A19" s="392"/>
      <c r="B19" s="286">
        <f t="shared" si="2"/>
        <v>1996</v>
      </c>
      <c r="C19" s="417">
        <v>116809.58224654378</v>
      </c>
      <c r="D19" s="417">
        <v>116971.1997953877</v>
      </c>
      <c r="E19" s="417">
        <v>117080</v>
      </c>
      <c r="F19" s="417"/>
      <c r="G19" s="417"/>
      <c r="H19" s="417"/>
      <c r="I19" s="417"/>
      <c r="J19" s="417"/>
      <c r="K19" s="417"/>
      <c r="L19" s="417"/>
      <c r="M19" s="399"/>
    </row>
    <row r="20" spans="1:13">
      <c r="A20" s="392"/>
      <c r="B20" s="286">
        <f t="shared" si="2"/>
        <v>1997</v>
      </c>
      <c r="C20" s="417">
        <v>121476.44939121879</v>
      </c>
      <c r="D20" s="417">
        <v>121650</v>
      </c>
      <c r="E20" s="417"/>
      <c r="F20" s="417"/>
      <c r="G20" s="417"/>
      <c r="H20" s="417"/>
      <c r="I20" s="417"/>
      <c r="J20" s="417"/>
      <c r="K20" s="417"/>
      <c r="L20" s="417"/>
      <c r="M20" s="399"/>
    </row>
    <row r="21" spans="1:13">
      <c r="A21" s="392"/>
      <c r="B21" s="286">
        <f t="shared" si="2"/>
        <v>1998</v>
      </c>
      <c r="C21" s="417">
        <v>131542</v>
      </c>
      <c r="D21" s="417"/>
      <c r="E21" s="417"/>
      <c r="F21" s="417"/>
      <c r="G21" s="417"/>
      <c r="H21" s="417"/>
      <c r="I21" s="417"/>
      <c r="J21" s="417"/>
      <c r="K21" s="417"/>
      <c r="L21" s="417"/>
      <c r="M21" s="399"/>
    </row>
    <row r="22" spans="1:13">
      <c r="A22" s="392"/>
      <c r="B22" s="52">
        <v>1999</v>
      </c>
      <c r="C22" s="417"/>
      <c r="D22" s="417"/>
      <c r="E22" s="417"/>
      <c r="F22" s="417"/>
      <c r="G22" s="417"/>
      <c r="H22" s="417"/>
      <c r="I22" s="417"/>
      <c r="J22" s="417"/>
      <c r="K22" s="417"/>
      <c r="L22" s="417"/>
      <c r="M22" s="399"/>
    </row>
    <row r="23" spans="1:13">
      <c r="A23" s="392"/>
      <c r="B23" s="286"/>
      <c r="C23" s="75"/>
      <c r="D23" s="75"/>
      <c r="E23" s="75"/>
      <c r="F23" s="75"/>
      <c r="G23" s="75"/>
      <c r="H23" s="75"/>
      <c r="I23" s="75"/>
      <c r="J23" s="75"/>
      <c r="K23" s="75"/>
      <c r="L23" s="75"/>
      <c r="M23" s="399"/>
    </row>
    <row r="24" spans="1:13">
      <c r="A24" s="392"/>
      <c r="B24" s="56" t="s">
        <v>19</v>
      </c>
      <c r="C24" s="79">
        <f>$B$21</f>
        <v>1998</v>
      </c>
      <c r="D24" s="79">
        <f t="shared" ref="D24:J24" si="3">C24-1</f>
        <v>1997</v>
      </c>
      <c r="E24" s="79">
        <f t="shared" si="3"/>
        <v>1996</v>
      </c>
      <c r="F24" s="79">
        <f t="shared" si="3"/>
        <v>1995</v>
      </c>
      <c r="G24" s="79">
        <f t="shared" si="3"/>
        <v>1994</v>
      </c>
      <c r="H24" s="79">
        <f t="shared" si="3"/>
        <v>1993</v>
      </c>
      <c r="I24" s="79">
        <f t="shared" si="3"/>
        <v>1992</v>
      </c>
      <c r="J24" s="79">
        <f t="shared" si="3"/>
        <v>1991</v>
      </c>
      <c r="K24" s="79">
        <f t="shared" ref="K24:L24" si="4">J24-1</f>
        <v>1990</v>
      </c>
      <c r="L24" s="79">
        <f t="shared" si="4"/>
        <v>1989</v>
      </c>
      <c r="M24" s="79"/>
    </row>
    <row r="25" spans="1:13">
      <c r="A25" s="405"/>
      <c r="B25" s="56"/>
      <c r="C25" s="79"/>
      <c r="D25" s="79"/>
      <c r="E25" s="79"/>
      <c r="F25" s="79"/>
      <c r="G25" s="79"/>
      <c r="H25" s="79"/>
      <c r="I25" s="79"/>
      <c r="J25" s="79"/>
      <c r="K25" s="79"/>
      <c r="L25" s="79"/>
      <c r="M25" s="79"/>
    </row>
    <row r="26" spans="1:13">
      <c r="A26" s="359" t="s">
        <v>432</v>
      </c>
      <c r="B26" s="56"/>
      <c r="C26" s="509">
        <v>133004.96630933689</v>
      </c>
      <c r="D26" s="509">
        <v>122764.88302926318</v>
      </c>
      <c r="E26" s="509">
        <v>117965.31836796424</v>
      </c>
      <c r="F26" s="509">
        <v>122763.30043268781</v>
      </c>
      <c r="G26" s="509">
        <v>131451.00162457331</v>
      </c>
      <c r="H26" s="509">
        <v>143995.43727783798</v>
      </c>
      <c r="I26" s="509">
        <v>183763.29092601314</v>
      </c>
      <c r="J26" s="509">
        <v>233292.26369396705</v>
      </c>
      <c r="K26" s="509">
        <v>232486.15221091241</v>
      </c>
      <c r="L26" s="509">
        <v>212119</v>
      </c>
      <c r="M26" s="397"/>
    </row>
    <row r="27" spans="1:13">
      <c r="A27" s="392"/>
      <c r="B27" s="286"/>
      <c r="C27" s="75"/>
      <c r="D27" s="75"/>
      <c r="E27" s="75"/>
      <c r="F27" s="75"/>
      <c r="G27" s="75"/>
      <c r="H27" s="75"/>
      <c r="I27" s="75"/>
      <c r="J27" s="75"/>
      <c r="K27" s="75"/>
      <c r="L27" s="75"/>
      <c r="M27" s="399"/>
    </row>
    <row r="28" spans="1:13">
      <c r="A28" s="392"/>
      <c r="B28" s="286"/>
      <c r="C28" s="392"/>
      <c r="D28" s="392"/>
      <c r="E28" s="392"/>
      <c r="F28" s="392"/>
      <c r="G28" s="392"/>
      <c r="H28" s="392"/>
      <c r="I28" s="392"/>
      <c r="J28" s="392"/>
      <c r="K28" s="392"/>
      <c r="L28" s="392"/>
      <c r="M28" s="399"/>
    </row>
    <row r="29" spans="1:13">
      <c r="A29" s="393" t="s">
        <v>433</v>
      </c>
      <c r="B29" s="393"/>
      <c r="C29" s="393"/>
      <c r="D29" s="393"/>
      <c r="E29" s="393"/>
      <c r="F29" s="393"/>
      <c r="G29" s="393"/>
      <c r="H29" s="393"/>
      <c r="I29" s="393"/>
      <c r="J29" s="393"/>
      <c r="K29" s="393"/>
      <c r="L29" s="393"/>
      <c r="M29" s="399"/>
    </row>
    <row r="30" spans="1:13">
      <c r="A30" s="392"/>
      <c r="B30" s="392"/>
      <c r="C30" s="392"/>
      <c r="D30" s="392"/>
      <c r="E30" s="392"/>
      <c r="F30" s="392"/>
      <c r="G30" s="392"/>
      <c r="H30" s="392"/>
      <c r="I30" s="392"/>
      <c r="J30" s="392"/>
      <c r="K30" s="392"/>
      <c r="L30" s="392"/>
      <c r="M30" s="399"/>
    </row>
    <row r="31" spans="1:13">
      <c r="A31" s="392"/>
      <c r="B31" s="286" t="s">
        <v>203</v>
      </c>
      <c r="C31" s="396" t="s">
        <v>311</v>
      </c>
      <c r="D31" s="400"/>
      <c r="E31" s="400"/>
      <c r="F31" s="400"/>
      <c r="G31" s="400"/>
      <c r="H31" s="400"/>
      <c r="I31" s="400"/>
      <c r="J31" s="400"/>
      <c r="K31" s="400"/>
      <c r="L31" s="400"/>
      <c r="M31" s="399"/>
    </row>
    <row r="32" spans="1:13">
      <c r="A32" s="392"/>
      <c r="B32" s="26" t="s">
        <v>8</v>
      </c>
      <c r="C32" s="79">
        <v>267</v>
      </c>
      <c r="D32" s="79">
        <f>+C32+12</f>
        <v>279</v>
      </c>
      <c r="E32" s="79">
        <f>+D32+12</f>
        <v>291</v>
      </c>
      <c r="F32" s="79">
        <f>+E32+12</f>
        <v>303</v>
      </c>
      <c r="G32" s="79">
        <f>+F32+12</f>
        <v>315</v>
      </c>
      <c r="H32" s="79">
        <f t="shared" ref="H32:L32" si="5">+G32+12</f>
        <v>327</v>
      </c>
      <c r="I32" s="79">
        <f t="shared" si="5"/>
        <v>339</v>
      </c>
      <c r="J32" s="79">
        <f t="shared" si="5"/>
        <v>351</v>
      </c>
      <c r="K32" s="79">
        <f t="shared" si="5"/>
        <v>363</v>
      </c>
      <c r="L32" s="79">
        <f t="shared" si="5"/>
        <v>375</v>
      </c>
      <c r="M32" s="399"/>
    </row>
    <row r="33" spans="1:13">
      <c r="A33" s="392"/>
      <c r="B33" s="286">
        <f t="shared" ref="B33:B35" si="6">B34-1</f>
        <v>1989</v>
      </c>
      <c r="C33" s="75"/>
      <c r="D33" s="75"/>
      <c r="E33" s="75"/>
      <c r="F33" s="75"/>
      <c r="G33" s="75"/>
      <c r="H33" s="75"/>
      <c r="I33" s="511">
        <f>I12/INDEX($C$26:$L$26,MATCH($B33,$C$24:$L$24,0))</f>
        <v>0.99678889657249026</v>
      </c>
      <c r="J33" s="511">
        <f t="shared" ref="I33:L34" si="7">J12/INDEX($C$26:$L$26,MATCH($B33,$C$24:$L$24,0))</f>
        <v>0.99726097277261916</v>
      </c>
      <c r="K33" s="511">
        <f t="shared" ref="K33" si="8">K12/INDEX($C$26:$L$26,MATCH($B33,$C$24:$L$24,0))</f>
        <v>0.99754383152852877</v>
      </c>
      <c r="L33" s="511">
        <f t="shared" si="7"/>
        <v>0.99784083462584683</v>
      </c>
      <c r="M33" s="399"/>
    </row>
    <row r="34" spans="1:13">
      <c r="A34" s="392"/>
      <c r="B34" s="286">
        <f t="shared" si="6"/>
        <v>1990</v>
      </c>
      <c r="C34" s="75"/>
      <c r="D34" s="75"/>
      <c r="E34" s="75"/>
      <c r="F34" s="75"/>
      <c r="G34" s="75"/>
      <c r="H34" s="511">
        <f>H13/INDEX($C$26:$L$26,MATCH($B34,$C$24:$L$24,0))</f>
        <v>0.99686297971219839</v>
      </c>
      <c r="I34" s="511">
        <f t="shared" si="7"/>
        <v>0.99734542378097202</v>
      </c>
      <c r="J34" s="511">
        <f t="shared" si="7"/>
        <v>0.99772394094925554</v>
      </c>
      <c r="K34" s="511">
        <f t="shared" si="7"/>
        <v>0.99814977276357442</v>
      </c>
      <c r="L34" s="511"/>
      <c r="M34" s="399"/>
    </row>
    <row r="35" spans="1:13">
      <c r="A35" s="392"/>
      <c r="B35" s="286">
        <f t="shared" si="6"/>
        <v>1991</v>
      </c>
      <c r="C35" s="75"/>
      <c r="D35" s="75"/>
      <c r="E35" s="75"/>
      <c r="F35" s="75"/>
      <c r="G35" s="511">
        <f>G14/INDEX($C$26:$L$26,MATCH($B35,$C$24:$L$24,0))</f>
        <v>0.99625221576441703</v>
      </c>
      <c r="H35" s="511">
        <f t="shared" ref="H35:J35" si="9">H14/INDEX($C$26:$L$26,MATCH($B35,$C$24:$L$24,0))</f>
        <v>0.99663402678989654</v>
      </c>
      <c r="I35" s="511">
        <f t="shared" si="9"/>
        <v>0.99714408149067013</v>
      </c>
      <c r="J35" s="511">
        <f t="shared" si="9"/>
        <v>0.99747842605385861</v>
      </c>
      <c r="K35" s="511"/>
      <c r="L35" s="75"/>
      <c r="M35" s="399"/>
    </row>
    <row r="36" spans="1:13">
      <c r="A36" s="392"/>
      <c r="B36" s="286">
        <f t="shared" ref="B36:B41" si="10">B37-1</f>
        <v>1992</v>
      </c>
      <c r="C36" s="75"/>
      <c r="D36" s="75"/>
      <c r="E36" s="75"/>
      <c r="F36" s="511">
        <f>F15/INDEX($C$26:$L$26,MATCH($B36,$C$24:$L$24,0))</f>
        <v>0.99583020057369842</v>
      </c>
      <c r="G36" s="511">
        <f t="shared" ref="G36:I36" si="11">G15/INDEX($C$26:$L$26,MATCH($B36,$C$24:$L$24,0))</f>
        <v>0.9962928483092498</v>
      </c>
      <c r="H36" s="511">
        <f t="shared" si="11"/>
        <v>0.99674423045539584</v>
      </c>
      <c r="I36" s="511">
        <f t="shared" si="11"/>
        <v>0.99715780598300541</v>
      </c>
      <c r="J36" s="511"/>
      <c r="K36" s="75"/>
      <c r="L36" s="75"/>
      <c r="M36" s="399"/>
    </row>
    <row r="37" spans="1:13">
      <c r="A37" s="392"/>
      <c r="B37" s="286">
        <f t="shared" si="10"/>
        <v>1993</v>
      </c>
      <c r="C37" s="75"/>
      <c r="D37" s="75"/>
      <c r="E37" s="511">
        <f>E16/INDEX($C$26:$L$26,MATCH($B37,$C$24:$L$24,0))</f>
        <v>0.99437891428605429</v>
      </c>
      <c r="F37" s="511">
        <f t="shared" ref="F37:H37" si="12">F16/INDEX($C$26:$L$26,MATCH($B37,$C$24:$L$24,0))</f>
        <v>0.9950042093279815</v>
      </c>
      <c r="G37" s="511">
        <f t="shared" si="12"/>
        <v>0.99566349261030318</v>
      </c>
      <c r="H37" s="511">
        <f t="shared" si="12"/>
        <v>0.99615656378910034</v>
      </c>
      <c r="I37" s="511"/>
      <c r="J37" s="75"/>
      <c r="K37" s="75"/>
      <c r="L37" s="75"/>
      <c r="M37" s="399"/>
    </row>
    <row r="38" spans="1:13">
      <c r="A38" s="392"/>
      <c r="B38" s="286">
        <f t="shared" si="10"/>
        <v>1994</v>
      </c>
      <c r="C38" s="75"/>
      <c r="D38" s="511">
        <f>D17/INDEX($C$26:$L$26,MATCH($B38,$C$24:$L$24,0))</f>
        <v>0.9927963056664354</v>
      </c>
      <c r="E38" s="511">
        <f t="shared" ref="E38:G38" si="13">E17/INDEX($C$26:$L$26,MATCH($B38,$C$24:$L$24,0))</f>
        <v>0.99360278290513493</v>
      </c>
      <c r="F38" s="511">
        <f t="shared" si="13"/>
        <v>0.99440855059687949</v>
      </c>
      <c r="G38" s="511">
        <f t="shared" si="13"/>
        <v>0.99495628320530516</v>
      </c>
      <c r="H38" s="511"/>
      <c r="I38" s="75"/>
      <c r="J38" s="75"/>
      <c r="K38" s="75"/>
      <c r="L38" s="75"/>
      <c r="M38" s="399"/>
    </row>
    <row r="39" spans="1:13">
      <c r="A39" s="392"/>
      <c r="B39" s="286">
        <f t="shared" si="10"/>
        <v>1995</v>
      </c>
      <c r="C39" s="511">
        <f>C18/INDEX($C$26:$L$26,MATCH($B39,$C$24:$L$24,0))</f>
        <v>0.99047581121170769</v>
      </c>
      <c r="D39" s="511">
        <f t="shared" ref="C39:D42" si="14">D18/INDEX($C$26:$L$26,MATCH($B39,$C$24:$L$24,0))</f>
        <v>0.99168158234747128</v>
      </c>
      <c r="E39" s="511">
        <f t="shared" ref="E39:F39" si="15">E18/INDEX($C$26:$L$26,MATCH($B39,$C$24:$L$24,0))</f>
        <v>0.99267451730673439</v>
      </c>
      <c r="F39" s="511">
        <f t="shared" si="15"/>
        <v>0.99348094723857128</v>
      </c>
      <c r="G39" s="511"/>
      <c r="H39" s="75"/>
      <c r="I39" s="75"/>
      <c r="J39" s="75"/>
      <c r="K39" s="75"/>
      <c r="L39" s="75"/>
      <c r="M39" s="399"/>
    </row>
    <row r="40" spans="1:13">
      <c r="A40" s="392"/>
      <c r="B40" s="286">
        <f t="shared" si="10"/>
        <v>1996</v>
      </c>
      <c r="C40" s="511">
        <f t="shared" si="14"/>
        <v>0.99020274655797202</v>
      </c>
      <c r="D40" s="511">
        <f t="shared" si="14"/>
        <v>0.99157278947465199</v>
      </c>
      <c r="E40" s="511">
        <f t="shared" ref="E40" si="16">E19/INDEX($C$26:$L$26,MATCH($B40,$C$24:$L$24,0))</f>
        <v>0.99249509618409448</v>
      </c>
      <c r="F40" s="511"/>
      <c r="G40" s="75"/>
      <c r="H40" s="75"/>
      <c r="I40" s="75"/>
      <c r="J40" s="75"/>
      <c r="K40" s="75"/>
      <c r="L40" s="75"/>
      <c r="M40" s="399"/>
    </row>
    <row r="41" spans="1:13">
      <c r="A41" s="392"/>
      <c r="B41" s="286">
        <f t="shared" si="10"/>
        <v>1997</v>
      </c>
      <c r="C41" s="511">
        <f t="shared" si="14"/>
        <v>0.98950486811658289</v>
      </c>
      <c r="D41" s="511">
        <f t="shared" si="14"/>
        <v>0.99091855095893</v>
      </c>
      <c r="E41" s="511"/>
      <c r="F41" s="75"/>
      <c r="G41" s="75"/>
      <c r="H41" s="75"/>
      <c r="I41" s="75"/>
      <c r="J41" s="75"/>
      <c r="K41" s="75"/>
      <c r="L41" s="75"/>
      <c r="M41" s="399"/>
    </row>
    <row r="42" spans="1:13">
      <c r="A42" s="392"/>
      <c r="B42" s="286">
        <f>$B$21</f>
        <v>1998</v>
      </c>
      <c r="C42" s="511">
        <f t="shared" si="14"/>
        <v>0.98900066403584974</v>
      </c>
      <c r="D42" s="511"/>
      <c r="E42" s="75"/>
      <c r="F42" s="75"/>
      <c r="G42" s="75"/>
      <c r="H42" s="75"/>
      <c r="I42" s="75"/>
      <c r="J42" s="75"/>
      <c r="K42" s="75"/>
      <c r="L42" s="75"/>
      <c r="M42" s="399"/>
    </row>
    <row r="43" spans="1:13">
      <c r="A43" s="392"/>
      <c r="B43" s="286"/>
      <c r="C43" s="398"/>
      <c r="D43" s="75"/>
      <c r="E43" s="75"/>
      <c r="F43" s="75"/>
      <c r="G43" s="75"/>
      <c r="H43" s="75"/>
      <c r="I43" s="75"/>
      <c r="J43" s="75"/>
      <c r="K43" s="75"/>
      <c r="L43" s="75"/>
      <c r="M43" s="399"/>
    </row>
    <row r="44" spans="1:13">
      <c r="A44" s="394"/>
      <c r="B44" s="286"/>
      <c r="C44" s="398"/>
      <c r="D44" s="75"/>
      <c r="E44" s="75"/>
      <c r="F44" s="75"/>
      <c r="G44" s="75"/>
      <c r="H44" s="75"/>
      <c r="I44" s="75"/>
      <c r="J44" s="75"/>
      <c r="K44" s="75"/>
      <c r="L44" s="75"/>
      <c r="M44" s="399"/>
    </row>
    <row r="45" spans="1:13">
      <c r="A45" s="394"/>
      <c r="B45" s="286"/>
      <c r="C45" s="398"/>
      <c r="D45" s="75"/>
      <c r="E45" s="75"/>
      <c r="F45" s="75"/>
      <c r="G45" s="75"/>
      <c r="H45" s="75"/>
      <c r="I45" s="75"/>
      <c r="J45" s="75"/>
      <c r="K45" s="75"/>
      <c r="L45" s="75"/>
      <c r="M45" s="399"/>
    </row>
    <row r="46" spans="1:13">
      <c r="A46" s="394"/>
      <c r="B46" s="286"/>
      <c r="C46" s="398"/>
      <c r="D46" s="75"/>
      <c r="E46" s="75"/>
      <c r="F46" s="75"/>
      <c r="G46" s="75"/>
      <c r="H46" s="75"/>
      <c r="I46" s="75"/>
      <c r="J46" s="75"/>
      <c r="K46" s="75"/>
      <c r="L46" s="75"/>
      <c r="M46" s="399"/>
    </row>
    <row r="47" spans="1:13">
      <c r="A47" s="405"/>
      <c r="B47" s="286"/>
      <c r="C47" s="398"/>
      <c r="D47" s="75"/>
      <c r="E47" s="75"/>
      <c r="F47" s="75"/>
      <c r="G47" s="75"/>
      <c r="H47" s="75"/>
      <c r="I47" s="75"/>
      <c r="J47" s="75"/>
      <c r="K47" s="75"/>
      <c r="L47" s="75"/>
      <c r="M47" s="399"/>
    </row>
    <row r="48" spans="1:13">
      <c r="A48" s="405"/>
      <c r="B48" s="286"/>
      <c r="C48" s="398"/>
      <c r="D48" s="75"/>
      <c r="E48" s="75"/>
      <c r="F48" s="75"/>
      <c r="G48" s="75"/>
      <c r="H48" s="75"/>
      <c r="I48" s="75"/>
      <c r="J48" s="75"/>
      <c r="K48" s="75"/>
      <c r="L48" s="75"/>
      <c r="M48" s="399"/>
    </row>
    <row r="49" spans="1:13">
      <c r="A49" s="405"/>
      <c r="B49" s="286"/>
      <c r="C49" s="398"/>
      <c r="D49" s="75"/>
      <c r="E49" s="75"/>
      <c r="F49" s="75"/>
      <c r="G49" s="75"/>
      <c r="H49" s="75"/>
      <c r="I49" s="75"/>
      <c r="J49" s="75"/>
      <c r="K49" s="75"/>
      <c r="L49" s="75"/>
      <c r="M49" s="399"/>
    </row>
    <row r="50" spans="1:13">
      <c r="A50" s="399"/>
      <c r="B50" s="399"/>
      <c r="C50" s="399"/>
      <c r="D50" s="399"/>
      <c r="E50" s="399"/>
      <c r="F50" s="399"/>
      <c r="G50" s="399"/>
      <c r="H50" s="399"/>
      <c r="I50" s="399"/>
      <c r="J50" s="399"/>
      <c r="K50" s="399"/>
      <c r="L50" s="399"/>
      <c r="M50" s="399"/>
    </row>
    <row r="51" spans="1:13">
      <c r="A51" s="401" t="s">
        <v>22</v>
      </c>
      <c r="B51" s="399" t="s">
        <v>431</v>
      </c>
      <c r="C51" s="399"/>
      <c r="D51" s="399"/>
      <c r="E51" s="399"/>
      <c r="F51" s="399"/>
      <c r="G51" s="399"/>
      <c r="H51" s="399"/>
      <c r="I51" s="399"/>
      <c r="J51" s="399"/>
      <c r="K51" s="399"/>
      <c r="L51" s="399"/>
      <c r="M51" s="399"/>
    </row>
    <row r="52" spans="1:13">
      <c r="A52" s="401" t="s">
        <v>28</v>
      </c>
      <c r="B52" s="399" t="s">
        <v>427</v>
      </c>
      <c r="C52" s="399"/>
      <c r="D52" s="399"/>
      <c r="E52" s="399"/>
      <c r="F52" s="399"/>
      <c r="G52" s="399"/>
      <c r="H52" s="399"/>
      <c r="I52" s="399"/>
      <c r="J52" s="399"/>
      <c r="K52" s="399"/>
      <c r="L52" s="399"/>
      <c r="M52" s="399"/>
    </row>
    <row r="53" spans="1:13">
      <c r="A53" s="399"/>
      <c r="B53" s="399"/>
      <c r="C53" s="399"/>
      <c r="D53" s="399"/>
      <c r="E53" s="399"/>
      <c r="F53" s="399"/>
      <c r="G53" s="399"/>
      <c r="H53" s="399"/>
      <c r="I53" s="399"/>
      <c r="J53" s="399"/>
      <c r="K53" s="399"/>
      <c r="L53" s="399"/>
      <c r="M53" s="399"/>
    </row>
    <row r="54" spans="1:13">
      <c r="A54" s="399"/>
      <c r="B54" s="399" t="s">
        <v>287</v>
      </c>
      <c r="C54" s="399"/>
      <c r="D54" s="399"/>
      <c r="E54" s="399"/>
      <c r="F54" s="399"/>
      <c r="G54" s="399"/>
      <c r="H54" s="399"/>
      <c r="I54" s="399"/>
      <c r="J54" s="399"/>
      <c r="K54" s="399"/>
      <c r="L54" s="399"/>
      <c r="M54" s="399"/>
    </row>
    <row r="55" spans="1:13">
      <c r="A55" s="399"/>
      <c r="B55" s="399"/>
      <c r="C55" s="399"/>
      <c r="D55" s="399"/>
      <c r="E55" s="399"/>
      <c r="F55" s="399"/>
      <c r="G55" s="399"/>
      <c r="H55" s="399"/>
      <c r="I55" s="399"/>
      <c r="J55" s="399"/>
      <c r="K55" s="399"/>
      <c r="L55" s="399"/>
      <c r="M55" s="148" t="s">
        <v>423</v>
      </c>
    </row>
    <row r="56" spans="1:13">
      <c r="A56" s="279" t="str">
        <f>A2</f>
        <v>Paid Loss Development Factors</v>
      </c>
      <c r="B56" s="279"/>
      <c r="C56" s="279"/>
      <c r="D56" s="279"/>
      <c r="E56" s="279"/>
      <c r="F56" s="279"/>
      <c r="G56" s="279"/>
      <c r="H56" s="279"/>
      <c r="I56" s="279"/>
      <c r="J56" s="279"/>
      <c r="K56" s="279"/>
      <c r="L56" s="279"/>
      <c r="M56" s="279"/>
    </row>
    <row r="57" spans="1:13">
      <c r="A57" s="279" t="str">
        <f>A3</f>
        <v>Adjusted for the Impact of Claim Settlement Rate</v>
      </c>
      <c r="B57" s="279"/>
      <c r="C57" s="279"/>
      <c r="D57" s="279"/>
      <c r="E57" s="279"/>
      <c r="F57" s="279"/>
      <c r="G57" s="279"/>
      <c r="H57" s="279"/>
      <c r="I57" s="279"/>
      <c r="J57" s="279"/>
      <c r="K57" s="279"/>
      <c r="L57" s="279"/>
      <c r="M57" s="279"/>
    </row>
    <row r="58" spans="1:13">
      <c r="A58" s="279" t="str">
        <f>A4</f>
        <v>Changes on Later Period Development</v>
      </c>
      <c r="B58" s="279"/>
      <c r="C58" s="279"/>
      <c r="D58" s="279"/>
      <c r="E58" s="279"/>
      <c r="F58" s="279"/>
      <c r="G58" s="279"/>
      <c r="H58" s="279"/>
      <c r="I58" s="279"/>
      <c r="J58" s="279"/>
      <c r="K58" s="279"/>
      <c r="L58" s="279"/>
      <c r="M58" s="279"/>
    </row>
    <row r="59" spans="1:13">
      <c r="A59" s="279"/>
      <c r="B59" s="279"/>
      <c r="C59" s="279"/>
      <c r="D59" s="279"/>
      <c r="E59" s="279"/>
      <c r="F59" s="279"/>
      <c r="G59" s="279"/>
      <c r="H59" s="279"/>
      <c r="I59" s="279"/>
      <c r="J59" s="279"/>
      <c r="K59" s="279"/>
      <c r="L59" s="279"/>
      <c r="M59" s="279"/>
    </row>
    <row r="60" spans="1:13">
      <c r="A60" s="279"/>
      <c r="B60" s="279"/>
      <c r="C60" s="279"/>
      <c r="D60" s="279"/>
      <c r="E60" s="279"/>
      <c r="F60" s="279"/>
      <c r="G60" s="279"/>
      <c r="H60" s="279"/>
      <c r="I60" s="279"/>
      <c r="J60" s="279"/>
      <c r="K60" s="279"/>
      <c r="L60" s="279"/>
      <c r="M60" s="279"/>
    </row>
    <row r="61" spans="1:13">
      <c r="A61" s="399"/>
      <c r="B61" s="399"/>
      <c r="C61" s="399"/>
      <c r="D61" s="399"/>
      <c r="E61" s="399"/>
      <c r="F61" s="399"/>
      <c r="G61" s="399"/>
      <c r="H61" s="399"/>
      <c r="I61" s="399"/>
      <c r="J61" s="399"/>
      <c r="K61" s="399"/>
      <c r="L61" s="399"/>
      <c r="M61" s="399"/>
    </row>
    <row r="62" spans="1:13">
      <c r="A62" s="393" t="s">
        <v>434</v>
      </c>
      <c r="B62" s="393"/>
      <c r="C62" s="393"/>
      <c r="D62" s="393"/>
      <c r="E62" s="393"/>
      <c r="F62" s="393"/>
      <c r="G62" s="393"/>
      <c r="H62" s="393"/>
      <c r="I62" s="393"/>
      <c r="J62" s="393"/>
      <c r="K62" s="393"/>
      <c r="L62" s="393"/>
      <c r="M62" s="399"/>
    </row>
    <row r="63" spans="1:13">
      <c r="A63" s="392"/>
      <c r="B63" s="392"/>
      <c r="C63" s="392"/>
      <c r="D63" s="392"/>
      <c r="E63" s="392"/>
      <c r="F63" s="392"/>
      <c r="G63" s="392"/>
      <c r="H63" s="392"/>
      <c r="I63" s="392"/>
      <c r="J63" s="392"/>
      <c r="K63" s="392"/>
      <c r="L63" s="392"/>
      <c r="M63" s="399"/>
    </row>
    <row r="64" spans="1:13">
      <c r="A64" s="392"/>
      <c r="B64" s="286" t="s">
        <v>203</v>
      </c>
      <c r="C64" s="396" t="s">
        <v>311</v>
      </c>
      <c r="D64" s="400"/>
      <c r="E64" s="400"/>
      <c r="F64" s="400"/>
      <c r="G64" s="400"/>
      <c r="H64" s="400"/>
      <c r="I64" s="400"/>
      <c r="J64" s="400"/>
      <c r="K64" s="400"/>
      <c r="L64" s="400"/>
      <c r="M64" s="399"/>
    </row>
    <row r="65" spans="1:13">
      <c r="A65" s="392"/>
      <c r="B65" s="26" t="s">
        <v>8</v>
      </c>
      <c r="C65" s="79" t="s">
        <v>551</v>
      </c>
      <c r="D65" s="79" t="str">
        <f>C$11&amp;"-"&amp;D$11</f>
        <v>267-279</v>
      </c>
      <c r="E65" s="79" t="str">
        <f t="shared" ref="E65:L65" si="17">D$11&amp;"-"&amp;E$11</f>
        <v>279-291</v>
      </c>
      <c r="F65" s="79" t="str">
        <f t="shared" si="17"/>
        <v>291-303</v>
      </c>
      <c r="G65" s="79" t="str">
        <f t="shared" si="17"/>
        <v>303-315</v>
      </c>
      <c r="H65" s="79" t="str">
        <f t="shared" si="17"/>
        <v>315-327</v>
      </c>
      <c r="I65" s="79" t="str">
        <f t="shared" si="17"/>
        <v>327-339</v>
      </c>
      <c r="J65" s="79" t="str">
        <f t="shared" si="17"/>
        <v>339-351</v>
      </c>
      <c r="K65" s="79" t="str">
        <f t="shared" si="17"/>
        <v>351-363</v>
      </c>
      <c r="L65" s="79" t="str">
        <f t="shared" si="17"/>
        <v>363-375</v>
      </c>
      <c r="M65" s="399"/>
    </row>
    <row r="66" spans="1:13">
      <c r="A66" s="392"/>
      <c r="B66" s="286">
        <f t="shared" ref="B66:B68" si="18">B67-1</f>
        <v>1989</v>
      </c>
      <c r="C66" s="417"/>
      <c r="D66" s="417"/>
      <c r="E66" s="417"/>
      <c r="F66" s="417"/>
      <c r="G66" s="417"/>
      <c r="H66" s="417"/>
      <c r="I66" s="417"/>
      <c r="J66" s="510">
        <v>0.14701370129800001</v>
      </c>
      <c r="K66" s="510">
        <v>0.10326978610581011</v>
      </c>
      <c r="L66" s="510">
        <v>0.12092130518235875</v>
      </c>
      <c r="M66" s="399"/>
    </row>
    <row r="67" spans="1:13">
      <c r="A67" s="392"/>
      <c r="B67" s="286">
        <f t="shared" si="18"/>
        <v>1990</v>
      </c>
      <c r="C67" s="417"/>
      <c r="D67" s="417"/>
      <c r="E67" s="417"/>
      <c r="F67" s="417"/>
      <c r="G67" s="417"/>
      <c r="H67" s="417"/>
      <c r="I67" s="510">
        <v>0.15379054788061838</v>
      </c>
      <c r="J67" s="510">
        <v>0.14259043141060057</v>
      </c>
      <c r="K67" s="510">
        <v>0.18709172513762121</v>
      </c>
      <c r="L67" s="510"/>
      <c r="M67" s="399"/>
    </row>
    <row r="68" spans="1:13">
      <c r="A68" s="392"/>
      <c r="B68" s="286">
        <f t="shared" si="18"/>
        <v>1991</v>
      </c>
      <c r="C68" s="417"/>
      <c r="D68" s="417"/>
      <c r="E68" s="417"/>
      <c r="F68" s="417"/>
      <c r="G68" s="417"/>
      <c r="H68" s="510">
        <v>0.10187646926267775</v>
      </c>
      <c r="I68" s="510">
        <v>0.15153260853134085</v>
      </c>
      <c r="J68" s="510">
        <v>0.11707076448302968</v>
      </c>
      <c r="K68" s="510"/>
      <c r="L68" s="417"/>
      <c r="M68" s="399"/>
    </row>
    <row r="69" spans="1:13">
      <c r="A69" s="392"/>
      <c r="B69" s="286">
        <f t="shared" ref="B69:B74" si="19">B70-1</f>
        <v>1992</v>
      </c>
      <c r="C69" s="417"/>
      <c r="D69" s="417"/>
      <c r="E69" s="417"/>
      <c r="F69" s="417"/>
      <c r="G69" s="510">
        <v>0.11095203587807283</v>
      </c>
      <c r="H69" s="510">
        <v>0.12175982635733359</v>
      </c>
      <c r="I69" s="510">
        <v>0.12702850184681902</v>
      </c>
      <c r="J69" s="510"/>
      <c r="K69" s="417"/>
      <c r="L69" s="417"/>
      <c r="M69" s="399"/>
    </row>
    <row r="70" spans="1:13">
      <c r="A70" s="392"/>
      <c r="B70" s="286">
        <f t="shared" si="19"/>
        <v>1993</v>
      </c>
      <c r="C70" s="417"/>
      <c r="D70" s="417"/>
      <c r="E70" s="417"/>
      <c r="F70" s="510">
        <v>0.11124097260710253</v>
      </c>
      <c r="G70" s="510">
        <v>0.13196775557757709</v>
      </c>
      <c r="H70" s="510">
        <v>0.1137023725518493</v>
      </c>
      <c r="I70" s="510"/>
      <c r="J70" s="417"/>
      <c r="K70" s="417"/>
      <c r="L70" s="417"/>
      <c r="M70" s="399"/>
    </row>
    <row r="71" spans="1:13">
      <c r="A71" s="392"/>
      <c r="B71" s="286">
        <f t="shared" si="19"/>
        <v>1994</v>
      </c>
      <c r="C71" s="417"/>
      <c r="D71" s="417"/>
      <c r="E71" s="510">
        <v>0.11195328415613981</v>
      </c>
      <c r="F71" s="510">
        <v>0.12595597113490775</v>
      </c>
      <c r="G71" s="510">
        <v>9.7958967154381196E-2</v>
      </c>
      <c r="H71" s="510"/>
      <c r="I71" s="417"/>
      <c r="J71" s="417"/>
      <c r="K71" s="417"/>
      <c r="L71" s="417"/>
      <c r="M71" s="399"/>
    </row>
    <row r="72" spans="1:13">
      <c r="A72" s="392"/>
      <c r="B72" s="286">
        <f t="shared" si="19"/>
        <v>1995</v>
      </c>
      <c r="C72" s="417"/>
      <c r="D72" s="510">
        <v>0.12660092765546538</v>
      </c>
      <c r="E72" s="510">
        <v>0.1193658458542619</v>
      </c>
      <c r="F72" s="510">
        <v>0.11008556918416344</v>
      </c>
      <c r="G72" s="510"/>
      <c r="H72" s="417"/>
      <c r="I72" s="417"/>
      <c r="J72" s="417"/>
      <c r="K72" s="417"/>
      <c r="L72" s="417"/>
      <c r="M72" s="399"/>
    </row>
    <row r="73" spans="1:13">
      <c r="A73" s="392"/>
      <c r="B73" s="286">
        <f t="shared" si="19"/>
        <v>1996</v>
      </c>
      <c r="C73" s="510">
        <v>7.5240648079894695E-2</v>
      </c>
      <c r="D73" s="510">
        <v>0.13983948917793626</v>
      </c>
      <c r="E73" s="510">
        <v>0.10944389091364269</v>
      </c>
      <c r="F73" s="510"/>
      <c r="G73" s="417"/>
      <c r="H73" s="417"/>
      <c r="I73" s="417"/>
      <c r="J73" s="417"/>
      <c r="K73" s="417"/>
      <c r="L73" s="417"/>
      <c r="M73" s="399"/>
    </row>
    <row r="74" spans="1:13">
      <c r="A74" s="392"/>
      <c r="B74" s="286">
        <f t="shared" si="19"/>
        <v>1997</v>
      </c>
      <c r="C74" s="510">
        <v>0.1251951806674379</v>
      </c>
      <c r="D74" s="510">
        <v>0.13469891165263065</v>
      </c>
      <c r="E74" s="510"/>
      <c r="F74" s="417"/>
      <c r="G74" s="417"/>
      <c r="H74" s="417"/>
      <c r="I74" s="417"/>
      <c r="J74" s="417"/>
      <c r="K74" s="417"/>
      <c r="L74" s="417"/>
      <c r="M74" s="399"/>
    </row>
    <row r="75" spans="1:13">
      <c r="A75" s="392"/>
      <c r="B75" s="286">
        <f>$B$21</f>
        <v>1998</v>
      </c>
      <c r="C75" s="510">
        <v>0.11761397014032092</v>
      </c>
      <c r="D75" s="510"/>
      <c r="E75" s="417"/>
      <c r="F75" s="417"/>
      <c r="G75" s="417"/>
      <c r="H75" s="417"/>
      <c r="I75" s="417"/>
      <c r="J75" s="417"/>
      <c r="K75" s="417"/>
      <c r="L75" s="417"/>
      <c r="M75" s="399"/>
    </row>
    <row r="76" spans="1:13">
      <c r="A76" s="392"/>
      <c r="B76" s="286">
        <f>$B$22</f>
        <v>1999</v>
      </c>
      <c r="C76" s="510"/>
      <c r="D76" s="417"/>
      <c r="E76" s="417"/>
      <c r="F76" s="417"/>
      <c r="G76" s="417"/>
      <c r="H76" s="417"/>
      <c r="I76" s="417"/>
      <c r="J76" s="417"/>
      <c r="K76" s="417"/>
      <c r="L76" s="417"/>
      <c r="M76" s="399"/>
    </row>
    <row r="77" spans="1:13">
      <c r="A77" s="392"/>
      <c r="B77" s="392"/>
      <c r="C77" s="392"/>
      <c r="D77" s="392"/>
      <c r="E77" s="392"/>
      <c r="F77" s="392"/>
      <c r="G77" s="392"/>
      <c r="H77" s="392"/>
      <c r="I77" s="392"/>
      <c r="J77" s="392"/>
      <c r="K77" s="392"/>
      <c r="L77" s="392"/>
      <c r="M77" s="399"/>
    </row>
    <row r="78" spans="1:13">
      <c r="A78" s="49"/>
      <c r="B78" s="56" t="s">
        <v>281</v>
      </c>
      <c r="C78" s="511">
        <f ca="1">AVERAGE(OFFSET(C$74:C$76,-COUNTA($C$65:C$65),0))</f>
        <v>0.10601659962921783</v>
      </c>
      <c r="D78" s="511">
        <f ca="1">AVERAGE(OFFSET(D$74:D$76,-COUNTA($C$65:D$65),0))</f>
        <v>0.1337131094953441</v>
      </c>
      <c r="E78" s="511">
        <f ca="1">AVERAGE(OFFSET(E$74:E$76,-COUNTA($C$65:E$65),0))</f>
        <v>0.11358767364134814</v>
      </c>
      <c r="F78" s="511">
        <f ca="1">AVERAGE(OFFSET(F$74:F$76,-COUNTA($C$65:F$65),0))</f>
        <v>0.11576083764205791</v>
      </c>
      <c r="G78" s="511">
        <f ca="1">AVERAGE(OFFSET(G$74:G$76,-COUNTA($C$65:G$65),0))</f>
        <v>0.11362625287001037</v>
      </c>
      <c r="H78" s="511">
        <f ca="1">AVERAGE(OFFSET(H$74:H$76,-COUNTA($C$65:H$65),0))</f>
        <v>0.11244622272395355</v>
      </c>
      <c r="I78" s="511">
        <f ca="1">AVERAGE(OFFSET(I$74:I$76,-COUNTA($C$65:I$65),0))</f>
        <v>0.14411721941959274</v>
      </c>
      <c r="J78" s="511">
        <f ca="1">AVERAGE(OFFSET(J$74:J$76,-COUNTA($C$65:J$65),0))</f>
        <v>0.13555829906387676</v>
      </c>
      <c r="K78" s="511">
        <f ca="1">AVERAGE(OFFSET(K$74:K$76,-COUNTA($C$65:K$65),0))</f>
        <v>0.14518075562171567</v>
      </c>
      <c r="L78" s="511">
        <f ca="1">AVERAGE(OFFSET(L$74:L$76,-COUNTA($C$65:L$65),0))</f>
        <v>0.12092130518235875</v>
      </c>
      <c r="M78" s="398"/>
    </row>
    <row r="79" spans="1:13">
      <c r="A79" s="49"/>
      <c r="B79" s="56"/>
      <c r="C79" s="398"/>
      <c r="D79" s="398"/>
      <c r="E79" s="398"/>
      <c r="F79" s="398"/>
      <c r="G79" s="398"/>
      <c r="H79" s="398"/>
      <c r="I79" s="398"/>
      <c r="J79" s="398"/>
      <c r="K79" s="398"/>
      <c r="L79" s="398"/>
      <c r="M79" s="398"/>
    </row>
    <row r="80" spans="1:13">
      <c r="A80" s="49"/>
      <c r="B80" s="56" t="s">
        <v>435</v>
      </c>
      <c r="C80" s="511">
        <f ca="1">1-C78</f>
        <v>0.89398340037078217</v>
      </c>
      <c r="D80" s="511">
        <f t="shared" ref="D80:L80" ca="1" si="20">1-D78</f>
        <v>0.8662868905046559</v>
      </c>
      <c r="E80" s="511">
        <f t="shared" ca="1" si="20"/>
        <v>0.88641232635865186</v>
      </c>
      <c r="F80" s="511">
        <f t="shared" ca="1" si="20"/>
        <v>0.88423916235794209</v>
      </c>
      <c r="G80" s="511">
        <f t="shared" ca="1" si="20"/>
        <v>0.88637374712998962</v>
      </c>
      <c r="H80" s="511">
        <f t="shared" ca="1" si="20"/>
        <v>0.88755377727604645</v>
      </c>
      <c r="I80" s="511">
        <f t="shared" ca="1" si="20"/>
        <v>0.85588278058040723</v>
      </c>
      <c r="J80" s="511">
        <f t="shared" ca="1" si="20"/>
        <v>0.86444170093612327</v>
      </c>
      <c r="K80" s="511">
        <f t="shared" ca="1" si="20"/>
        <v>0.85481924437828427</v>
      </c>
      <c r="L80" s="511">
        <f t="shared" ca="1" si="20"/>
        <v>0.87907869481764123</v>
      </c>
      <c r="M80" s="398"/>
    </row>
    <row r="83" spans="1:12">
      <c r="A83" s="393" t="s">
        <v>440</v>
      </c>
      <c r="B83" s="393"/>
      <c r="C83" s="393"/>
      <c r="D83" s="393"/>
      <c r="E83" s="393"/>
      <c r="F83" s="393"/>
      <c r="G83" s="393"/>
      <c r="H83" s="393"/>
      <c r="I83" s="393"/>
      <c r="J83" s="393"/>
      <c r="K83" s="393"/>
      <c r="L83" s="393"/>
    </row>
    <row r="84" spans="1:12">
      <c r="A84" s="392"/>
      <c r="B84" s="392"/>
      <c r="C84" s="392"/>
      <c r="D84" s="392"/>
      <c r="E84" s="392"/>
      <c r="F84" s="392"/>
      <c r="G84" s="392"/>
      <c r="H84" s="392"/>
      <c r="I84" s="392"/>
      <c r="J84" s="392"/>
      <c r="K84" s="392"/>
      <c r="L84" s="392"/>
    </row>
    <row r="85" spans="1:12">
      <c r="A85" s="392"/>
      <c r="B85" s="286" t="s">
        <v>203</v>
      </c>
      <c r="C85" s="396" t="s">
        <v>311</v>
      </c>
      <c r="D85" s="400"/>
      <c r="E85" s="400"/>
      <c r="F85" s="400"/>
      <c r="G85" s="400"/>
      <c r="H85" s="400"/>
      <c r="I85" s="400"/>
      <c r="J85" s="400"/>
      <c r="K85" s="400"/>
      <c r="L85" s="400"/>
    </row>
    <row r="86" spans="1:12">
      <c r="A86" s="392"/>
      <c r="B86" s="26" t="s">
        <v>8</v>
      </c>
      <c r="C86" s="79">
        <v>267</v>
      </c>
      <c r="D86" s="79">
        <f>+C86+12</f>
        <v>279</v>
      </c>
      <c r="E86" s="79">
        <f>+D86+12</f>
        <v>291</v>
      </c>
      <c r="F86" s="79">
        <f>+E86+12</f>
        <v>303</v>
      </c>
      <c r="G86" s="79">
        <f>+F86+12</f>
        <v>315</v>
      </c>
      <c r="H86" s="79">
        <f t="shared" ref="H86:L86" si="21">+G86+12</f>
        <v>327</v>
      </c>
      <c r="I86" s="79">
        <f t="shared" si="21"/>
        <v>339</v>
      </c>
      <c r="J86" s="79">
        <f t="shared" si="21"/>
        <v>351</v>
      </c>
      <c r="K86" s="79">
        <f t="shared" si="21"/>
        <v>363</v>
      </c>
      <c r="L86" s="79">
        <f t="shared" si="21"/>
        <v>375</v>
      </c>
    </row>
    <row r="87" spans="1:12">
      <c r="A87" s="392"/>
      <c r="B87" s="286">
        <f t="shared" ref="B87:B89" si="22">B88-1</f>
        <v>1989</v>
      </c>
      <c r="C87" s="417"/>
      <c r="D87" s="417"/>
      <c r="E87" s="417"/>
      <c r="F87" s="417"/>
      <c r="G87" s="417"/>
      <c r="H87" s="417"/>
      <c r="I87" s="417"/>
      <c r="J87" s="417"/>
      <c r="K87" s="417"/>
      <c r="L87" s="512">
        <v>458</v>
      </c>
    </row>
    <row r="88" spans="1:12">
      <c r="A88" s="392"/>
      <c r="B88" s="286">
        <f t="shared" si="22"/>
        <v>1990</v>
      </c>
      <c r="C88" s="417"/>
      <c r="D88" s="417"/>
      <c r="E88" s="417"/>
      <c r="F88" s="417"/>
      <c r="G88" s="417"/>
      <c r="H88" s="417"/>
      <c r="I88" s="417"/>
      <c r="J88" s="417"/>
      <c r="K88" s="512">
        <v>430.15221091240528</v>
      </c>
      <c r="L88" s="417">
        <v>378.13764414179997</v>
      </c>
    </row>
    <row r="89" spans="1:12">
      <c r="A89" s="392"/>
      <c r="B89" s="286">
        <f t="shared" si="22"/>
        <v>1991</v>
      </c>
      <c r="C89" s="417"/>
      <c r="D89" s="417"/>
      <c r="E89" s="417"/>
      <c r="F89" s="417"/>
      <c r="G89" s="417"/>
      <c r="H89" s="417"/>
      <c r="I89" s="417"/>
      <c r="J89" s="512">
        <v>588.26369396704831</v>
      </c>
      <c r="K89" s="417">
        <v>502.85912637209049</v>
      </c>
      <c r="L89" s="417">
        <v>442.05274448831659</v>
      </c>
    </row>
    <row r="90" spans="1:12">
      <c r="A90" s="392"/>
      <c r="B90" s="286">
        <f t="shared" ref="B90:B96" si="23">B91-1</f>
        <v>1992</v>
      </c>
      <c r="C90" s="417"/>
      <c r="D90" s="417"/>
      <c r="E90" s="417"/>
      <c r="F90" s="417"/>
      <c r="G90" s="417"/>
      <c r="H90" s="417"/>
      <c r="I90" s="512">
        <v>522.29092601314187</v>
      </c>
      <c r="J90" s="417">
        <v>451.49005646630326</v>
      </c>
      <c r="K90" s="417">
        <v>385.94238891283425</v>
      </c>
      <c r="L90" s="417">
        <v>339.27373152029685</v>
      </c>
    </row>
    <row r="91" spans="1:12">
      <c r="A91" s="392"/>
      <c r="B91" s="286">
        <f t="shared" si="23"/>
        <v>1993</v>
      </c>
      <c r="C91" s="417"/>
      <c r="D91" s="417"/>
      <c r="E91" s="417"/>
      <c r="F91" s="417"/>
      <c r="G91" s="417"/>
      <c r="H91" s="512">
        <v>553.43727783797658</v>
      </c>
      <c r="I91" s="417">
        <v>473.67743623281876</v>
      </c>
      <c r="J91" s="417">
        <v>409.46652867215988</v>
      </c>
      <c r="K91" s="417">
        <v>350.01986863773487</v>
      </c>
      <c r="L91" s="417">
        <v>307.69500928230218</v>
      </c>
    </row>
    <row r="92" spans="1:12">
      <c r="A92" s="392"/>
      <c r="B92" s="286">
        <f t="shared" si="23"/>
        <v>1994</v>
      </c>
      <c r="C92" s="417"/>
      <c r="D92" s="417"/>
      <c r="E92" s="417"/>
      <c r="F92" s="417"/>
      <c r="G92" s="512">
        <v>663.00162457331317</v>
      </c>
      <c r="H92" s="417">
        <v>588.4495962301994</v>
      </c>
      <c r="I92" s="417">
        <v>503.64387665292094</v>
      </c>
      <c r="J92" s="417">
        <v>435.37076939991402</v>
      </c>
      <c r="K92" s="417">
        <v>372.16331212282682</v>
      </c>
      <c r="L92" s="417">
        <v>327.16083867994496</v>
      </c>
    </row>
    <row r="93" spans="1:12">
      <c r="A93" s="392"/>
      <c r="B93" s="286">
        <f t="shared" si="23"/>
        <v>1995</v>
      </c>
      <c r="C93" s="417"/>
      <c r="D93" s="417"/>
      <c r="E93" s="417"/>
      <c r="F93" s="512">
        <v>800.30043268781446</v>
      </c>
      <c r="G93" s="417">
        <v>709.3652933512501</v>
      </c>
      <c r="H93" s="417">
        <v>629.59984558243286</v>
      </c>
      <c r="I93" s="417">
        <v>538.86366649008767</v>
      </c>
      <c r="J93" s="417">
        <v>465.8162244333671</v>
      </c>
      <c r="K93" s="417">
        <v>398.18867298927631</v>
      </c>
      <c r="L93" s="417">
        <v>350.03917894258143</v>
      </c>
    </row>
    <row r="94" spans="1:12">
      <c r="A94" s="392"/>
      <c r="B94" s="286">
        <f t="shared" si="23"/>
        <v>1996</v>
      </c>
      <c r="C94" s="417"/>
      <c r="D94" s="417"/>
      <c r="E94" s="512">
        <v>885.31836796423886</v>
      </c>
      <c r="F94" s="417">
        <v>782.83317210879898</v>
      </c>
      <c r="G94" s="417">
        <v>693.8827721397322</v>
      </c>
      <c r="H94" s="417">
        <v>615.85827539939351</v>
      </c>
      <c r="I94" s="417">
        <v>527.10249319228717</v>
      </c>
      <c r="J94" s="417">
        <v>455.649375782812</v>
      </c>
      <c r="K94" s="417">
        <v>389.4978551081004</v>
      </c>
      <c r="L94" s="417">
        <v>342.39926610269953</v>
      </c>
    </row>
    <row r="95" spans="1:12">
      <c r="A95" s="392"/>
      <c r="B95" s="286">
        <f t="shared" si="23"/>
        <v>1997</v>
      </c>
      <c r="C95" s="417"/>
      <c r="D95" s="512">
        <v>1114.8830292631756</v>
      </c>
      <c r="E95" s="417">
        <v>988.24605958695236</v>
      </c>
      <c r="F95" s="417">
        <v>873.84586793270375</v>
      </c>
      <c r="G95" s="417">
        <v>774.55403637356869</v>
      </c>
      <c r="H95" s="417">
        <v>687.45836068776907</v>
      </c>
      <c r="I95" s="417">
        <v>588.38377327869637</v>
      </c>
      <c r="J95" s="417">
        <v>508.62346977625054</v>
      </c>
      <c r="K95" s="417">
        <v>434.78113010719568</v>
      </c>
      <c r="L95" s="417">
        <v>382.20682838597253</v>
      </c>
    </row>
    <row r="96" spans="1:12">
      <c r="A96" s="392"/>
      <c r="B96" s="286">
        <f t="shared" si="23"/>
        <v>1998</v>
      </c>
      <c r="C96" s="512">
        <v>1462.9663093368872</v>
      </c>
      <c r="D96" s="417">
        <v>1267.3485350285246</v>
      </c>
      <c r="E96" s="417">
        <v>1123.3933632418639</v>
      </c>
      <c r="F96" s="417">
        <v>993.34840651145714</v>
      </c>
      <c r="G96" s="417">
        <v>880.47794928516453</v>
      </c>
      <c r="H96" s="417">
        <v>781.47152969631497</v>
      </c>
      <c r="I96" s="417">
        <v>668.84802578090626</v>
      </c>
      <c r="J96" s="417">
        <v>578.18012507381457</v>
      </c>
      <c r="K96" s="417">
        <v>494.23949763014019</v>
      </c>
      <c r="L96" s="417">
        <v>434.47541250403026</v>
      </c>
    </row>
    <row r="97" spans="1:13">
      <c r="A97" s="392"/>
      <c r="B97" s="286">
        <v>1999</v>
      </c>
      <c r="C97" s="417">
        <v>1417.0711579948556</v>
      </c>
      <c r="D97" s="417">
        <v>1227.5901670831954</v>
      </c>
      <c r="E97" s="417">
        <v>1088.1510558192215</v>
      </c>
      <c r="F97" s="417">
        <v>962.18577811649857</v>
      </c>
      <c r="G97" s="417">
        <v>852.85621358430569</v>
      </c>
      <c r="H97" s="417">
        <v>756.95575384009726</v>
      </c>
      <c r="I97" s="417">
        <v>647.86539537300064</v>
      </c>
      <c r="J97" s="417">
        <v>560.04186435389056</v>
      </c>
      <c r="K97" s="417">
        <v>478.73456330719841</v>
      </c>
      <c r="L97" s="417">
        <v>420.84535507618534</v>
      </c>
    </row>
    <row r="98" spans="1:13">
      <c r="A98" s="404"/>
      <c r="B98" s="286" t="s">
        <v>441</v>
      </c>
      <c r="C98" s="417"/>
      <c r="D98" s="417"/>
      <c r="E98" s="417"/>
      <c r="F98" s="417"/>
      <c r="G98" s="417"/>
      <c r="H98" s="417"/>
      <c r="I98" s="417"/>
      <c r="J98" s="417"/>
      <c r="K98" s="417"/>
      <c r="L98" s="417"/>
    </row>
    <row r="99" spans="1:13">
      <c r="A99" s="404"/>
      <c r="B99" s="286">
        <v>2018</v>
      </c>
      <c r="C99" s="417">
        <v>413.66141731026858</v>
      </c>
      <c r="D99" s="417">
        <v>358.34946292346137</v>
      </c>
      <c r="E99" s="417">
        <v>317.64538107935891</v>
      </c>
      <c r="F99" s="417">
        <v>280.8744856924817</v>
      </c>
      <c r="G99" s="417">
        <v>248.95977035645373</v>
      </c>
      <c r="H99" s="417">
        <v>220.96518456964759</v>
      </c>
      <c r="I99" s="417">
        <v>189.12029658093275</v>
      </c>
      <c r="J99" s="417">
        <v>163.48347085796567</v>
      </c>
      <c r="K99" s="417">
        <v>139.74881702714552</v>
      </c>
      <c r="L99" s="417">
        <v>122.8502076745324</v>
      </c>
    </row>
    <row r="100" spans="1:13">
      <c r="B100" s="286">
        <f>B99+1</f>
        <v>2019</v>
      </c>
      <c r="C100" s="417">
        <v>425.66005846631714</v>
      </c>
      <c r="D100" s="417">
        <v>368.74372846081593</v>
      </c>
      <c r="E100" s="417">
        <v>326.85898617511486</v>
      </c>
      <c r="F100" s="417">
        <v>289.02151614464981</v>
      </c>
      <c r="G100" s="417">
        <v>256.18108426632415</v>
      </c>
      <c r="H100" s="417">
        <v>227.37448900724914</v>
      </c>
      <c r="I100" s="417">
        <v>194.60590988457349</v>
      </c>
      <c r="J100" s="417">
        <v>168.2254637528427</v>
      </c>
      <c r="K100" s="417">
        <v>143.80236381039148</v>
      </c>
      <c r="L100" s="417">
        <v>126.41359429013053</v>
      </c>
    </row>
    <row r="101" spans="1:13">
      <c r="B101" s="286"/>
      <c r="C101" s="302"/>
      <c r="D101" s="302"/>
      <c r="E101" s="302"/>
      <c r="F101" s="302"/>
      <c r="G101" s="302"/>
      <c r="H101" s="302"/>
      <c r="I101" s="302"/>
      <c r="J101" s="302"/>
      <c r="K101" s="302"/>
      <c r="L101" s="302"/>
    </row>
    <row r="102" spans="1:13">
      <c r="B102" s="286"/>
      <c r="C102" s="302"/>
      <c r="D102" s="302"/>
      <c r="E102" s="302"/>
      <c r="F102" s="302"/>
      <c r="G102" s="302"/>
      <c r="H102" s="302"/>
      <c r="I102" s="302"/>
      <c r="J102" s="302"/>
      <c r="K102" s="302"/>
      <c r="L102" s="302"/>
    </row>
    <row r="103" spans="1:13">
      <c r="B103" s="286"/>
      <c r="C103" s="302"/>
      <c r="D103" s="302"/>
      <c r="E103" s="302"/>
      <c r="F103" s="302"/>
      <c r="G103" s="302"/>
      <c r="H103" s="302"/>
      <c r="I103" s="302"/>
      <c r="J103" s="302"/>
      <c r="K103" s="302"/>
      <c r="L103" s="302"/>
    </row>
    <row r="104" spans="1:13">
      <c r="A104" s="401" t="s">
        <v>38</v>
      </c>
      <c r="B104" s="399" t="s">
        <v>437</v>
      </c>
    </row>
    <row r="105" spans="1:13">
      <c r="B105" s="399" t="s">
        <v>438</v>
      </c>
    </row>
    <row r="106" spans="1:13">
      <c r="A106" s="401" t="s">
        <v>57</v>
      </c>
      <c r="B106" s="399" t="s">
        <v>436</v>
      </c>
    </row>
    <row r="107" spans="1:13">
      <c r="A107" s="401" t="s">
        <v>41</v>
      </c>
      <c r="B107" s="399" t="s">
        <v>467</v>
      </c>
    </row>
    <row r="108" spans="1:13">
      <c r="A108" s="401"/>
      <c r="B108" s="399" t="s">
        <v>468</v>
      </c>
    </row>
    <row r="109" spans="1:13">
      <c r="A109" s="401"/>
      <c r="B109" s="399" t="s">
        <v>469</v>
      </c>
    </row>
    <row r="111" spans="1:13">
      <c r="B111" s="399" t="s">
        <v>287</v>
      </c>
    </row>
    <row r="112" spans="1:13">
      <c r="A112" s="399"/>
      <c r="B112" s="399"/>
      <c r="C112" s="399"/>
      <c r="D112" s="399"/>
      <c r="E112" s="399"/>
      <c r="F112" s="399"/>
      <c r="G112" s="399"/>
      <c r="H112" s="399"/>
      <c r="I112" s="399"/>
      <c r="J112" s="399"/>
      <c r="K112" s="399"/>
      <c r="L112" s="399"/>
      <c r="M112" s="148" t="s">
        <v>424</v>
      </c>
    </row>
    <row r="113" spans="1:13">
      <c r="A113" s="279" t="str">
        <f>A2</f>
        <v>Paid Loss Development Factors</v>
      </c>
      <c r="B113" s="279"/>
      <c r="C113" s="279"/>
      <c r="D113" s="279"/>
      <c r="E113" s="279"/>
      <c r="F113" s="279"/>
      <c r="G113" s="279"/>
      <c r="H113" s="279"/>
      <c r="I113" s="279"/>
      <c r="J113" s="279"/>
      <c r="K113" s="279"/>
      <c r="L113" s="279"/>
      <c r="M113" s="279"/>
    </row>
    <row r="114" spans="1:13">
      <c r="A114" s="279" t="str">
        <f>A3</f>
        <v>Adjusted for the Impact of Claim Settlement Rate</v>
      </c>
      <c r="B114" s="279"/>
      <c r="C114" s="279"/>
      <c r="D114" s="279"/>
      <c r="E114" s="279"/>
      <c r="F114" s="279"/>
      <c r="G114" s="279"/>
      <c r="H114" s="279"/>
      <c r="I114" s="279"/>
      <c r="J114" s="279"/>
      <c r="K114" s="279"/>
      <c r="L114" s="279"/>
      <c r="M114" s="279"/>
    </row>
    <row r="115" spans="1:13">
      <c r="A115" s="279" t="str">
        <f>A4</f>
        <v>Changes on Later Period Development</v>
      </c>
      <c r="B115" s="279"/>
      <c r="C115" s="279"/>
      <c r="D115" s="279"/>
      <c r="E115" s="279"/>
      <c r="F115" s="279"/>
      <c r="G115" s="279"/>
      <c r="H115" s="279"/>
      <c r="I115" s="279"/>
      <c r="J115" s="279"/>
      <c r="K115" s="279"/>
      <c r="L115" s="279"/>
      <c r="M115" s="279"/>
    </row>
    <row r="116" spans="1:13">
      <c r="A116" s="279"/>
      <c r="B116" s="279"/>
      <c r="C116" s="279"/>
      <c r="D116" s="279"/>
      <c r="E116" s="279"/>
      <c r="F116" s="279"/>
      <c r="G116" s="279"/>
      <c r="H116" s="279"/>
      <c r="I116" s="279"/>
      <c r="J116" s="279"/>
      <c r="K116" s="279"/>
      <c r="L116" s="279"/>
      <c r="M116" s="279"/>
    </row>
    <row r="117" spans="1:13">
      <c r="A117" s="279"/>
      <c r="B117" s="279"/>
      <c r="C117" s="279"/>
      <c r="D117" s="279"/>
      <c r="E117" s="279"/>
      <c r="F117" s="279"/>
      <c r="G117" s="279"/>
      <c r="H117" s="279"/>
      <c r="I117" s="279"/>
      <c r="J117" s="279"/>
      <c r="K117" s="279"/>
      <c r="L117" s="279"/>
      <c r="M117" s="279"/>
    </row>
    <row r="118" spans="1:13">
      <c r="A118" s="399"/>
      <c r="B118" s="399"/>
      <c r="C118" s="399"/>
      <c r="D118" s="399"/>
      <c r="E118" s="399"/>
      <c r="F118" s="399"/>
      <c r="G118" s="399"/>
      <c r="H118" s="399"/>
      <c r="I118" s="399"/>
      <c r="J118" s="399"/>
      <c r="K118" s="399"/>
      <c r="L118" s="399"/>
      <c r="M118" s="399"/>
    </row>
    <row r="119" spans="1:13">
      <c r="A119" s="393" t="s">
        <v>445</v>
      </c>
      <c r="B119" s="393"/>
      <c r="C119" s="393"/>
      <c r="D119" s="393"/>
      <c r="E119" s="393"/>
      <c r="F119" s="393"/>
      <c r="G119" s="393"/>
      <c r="H119" s="393"/>
      <c r="I119" s="393"/>
      <c r="J119" s="393"/>
      <c r="K119" s="393"/>
      <c r="L119" s="393"/>
      <c r="M119" s="399"/>
    </row>
    <row r="120" spans="1:13">
      <c r="A120" s="392"/>
      <c r="B120" s="392"/>
      <c r="C120" s="392"/>
      <c r="D120" s="392"/>
      <c r="E120" s="392"/>
      <c r="F120" s="392"/>
      <c r="G120" s="392"/>
      <c r="H120" s="392"/>
      <c r="I120" s="392"/>
      <c r="J120" s="392"/>
      <c r="K120" s="392"/>
      <c r="L120" s="392"/>
      <c r="M120" s="399"/>
    </row>
    <row r="121" spans="1:13">
      <c r="A121" s="392"/>
      <c r="B121" s="286" t="s">
        <v>203</v>
      </c>
      <c r="C121" s="396" t="s">
        <v>311</v>
      </c>
      <c r="D121" s="400"/>
      <c r="E121" s="400"/>
      <c r="F121" s="400"/>
      <c r="G121" s="400"/>
      <c r="H121" s="400"/>
      <c r="I121" s="400"/>
      <c r="J121" s="400"/>
      <c r="K121" s="400"/>
      <c r="L121" s="400"/>
      <c r="M121" s="399"/>
    </row>
    <row r="122" spans="1:13">
      <c r="A122" s="392"/>
      <c r="B122" s="26" t="s">
        <v>8</v>
      </c>
      <c r="C122" s="79">
        <v>267</v>
      </c>
      <c r="D122" s="79">
        <f>+C122+12</f>
        <v>279</v>
      </c>
      <c r="E122" s="79">
        <f>+D122+12</f>
        <v>291</v>
      </c>
      <c r="F122" s="79">
        <f>+E122+12</f>
        <v>303</v>
      </c>
      <c r="G122" s="79">
        <f>+F122+12</f>
        <v>315</v>
      </c>
      <c r="H122" s="79">
        <f t="shared" ref="H122:L122" si="24">+G122+12</f>
        <v>327</v>
      </c>
      <c r="I122" s="79">
        <f t="shared" si="24"/>
        <v>339</v>
      </c>
      <c r="J122" s="79">
        <f t="shared" si="24"/>
        <v>351</v>
      </c>
      <c r="K122" s="79">
        <f t="shared" si="24"/>
        <v>363</v>
      </c>
      <c r="L122" s="79">
        <f t="shared" si="24"/>
        <v>375</v>
      </c>
      <c r="M122" s="399"/>
    </row>
    <row r="123" spans="1:13">
      <c r="A123" s="392"/>
      <c r="B123" s="286">
        <f t="shared" ref="B123:B125" si="25">B124-1</f>
        <v>1989</v>
      </c>
      <c r="C123" s="417"/>
      <c r="D123" s="417"/>
      <c r="E123" s="417"/>
      <c r="F123" s="417"/>
      <c r="G123" s="417"/>
      <c r="H123" s="417"/>
      <c r="I123" s="417"/>
      <c r="J123" s="517">
        <v>2.7390272273807863E-3</v>
      </c>
      <c r="K123" s="517">
        <v>2.4561684714712027E-3</v>
      </c>
      <c r="L123" s="517">
        <v>2.1591653741531874E-3</v>
      </c>
      <c r="M123" s="399"/>
    </row>
    <row r="124" spans="1:13">
      <c r="A124" s="392"/>
      <c r="B124" s="286">
        <f t="shared" si="25"/>
        <v>1990</v>
      </c>
      <c r="C124" s="417"/>
      <c r="D124" s="417"/>
      <c r="E124" s="417"/>
      <c r="F124" s="417"/>
      <c r="G124" s="417"/>
      <c r="H124" s="417"/>
      <c r="I124" s="517">
        <v>2.6545762190279712E-3</v>
      </c>
      <c r="J124" s="517">
        <v>2.2760590507444772E-3</v>
      </c>
      <c r="K124" s="517">
        <v>1.8502272364255459E-3</v>
      </c>
      <c r="L124" s="510">
        <v>1.6264953441130201E-3</v>
      </c>
      <c r="M124" s="399"/>
    </row>
    <row r="125" spans="1:13">
      <c r="A125" s="392"/>
      <c r="B125" s="286">
        <f t="shared" si="25"/>
        <v>1991</v>
      </c>
      <c r="C125" s="417"/>
      <c r="D125" s="417"/>
      <c r="E125" s="417"/>
      <c r="F125" s="417"/>
      <c r="G125" s="417"/>
      <c r="H125" s="517">
        <v>3.3659732101034901E-3</v>
      </c>
      <c r="I125" s="517">
        <v>2.8559185093299218E-3</v>
      </c>
      <c r="J125" s="517">
        <v>2.5215739461413645E-3</v>
      </c>
      <c r="K125" s="510">
        <v>2.15548993528453E-3</v>
      </c>
      <c r="L125" s="510">
        <v>1.8948452790024863E-3</v>
      </c>
      <c r="M125" s="399"/>
    </row>
    <row r="126" spans="1:13">
      <c r="A126" s="392"/>
      <c r="B126" s="286">
        <f t="shared" ref="B126:B131" si="26">B127-1</f>
        <v>1992</v>
      </c>
      <c r="C126" s="417"/>
      <c r="D126" s="417"/>
      <c r="E126" s="417"/>
      <c r="F126" s="417"/>
      <c r="G126" s="517">
        <v>3.7071516907501499E-3</v>
      </c>
      <c r="H126" s="517">
        <v>3.2557695446041291E-3</v>
      </c>
      <c r="I126" s="517">
        <v>2.8421940169945413E-3</v>
      </c>
      <c r="J126" s="510">
        <v>2.4569110304412342E-3</v>
      </c>
      <c r="K126" s="510">
        <v>2.1002148305464476E-3</v>
      </c>
      <c r="L126" s="510">
        <v>1.8462541120734248E-3</v>
      </c>
      <c r="M126" s="399"/>
    </row>
    <row r="127" spans="1:13">
      <c r="A127" s="392"/>
      <c r="B127" s="286">
        <f t="shared" si="26"/>
        <v>1993</v>
      </c>
      <c r="C127" s="417"/>
      <c r="D127" s="417"/>
      <c r="E127" s="417"/>
      <c r="F127" s="517">
        <v>4.995790672018551E-3</v>
      </c>
      <c r="G127" s="517">
        <v>4.3365073896968701E-3</v>
      </c>
      <c r="H127" s="517">
        <v>3.8434362108996831E-3</v>
      </c>
      <c r="I127" s="510">
        <v>3.2895308711682453E-3</v>
      </c>
      <c r="J127" s="510">
        <v>2.8436076615545648E-3</v>
      </c>
      <c r="K127" s="510">
        <v>2.4307705525583737E-3</v>
      </c>
      <c r="L127" s="510">
        <v>2.1368386047441717E-3</v>
      </c>
      <c r="M127" s="399"/>
    </row>
    <row r="128" spans="1:13">
      <c r="A128" s="392"/>
      <c r="B128" s="286">
        <f t="shared" si="26"/>
        <v>1994</v>
      </c>
      <c r="C128" s="417"/>
      <c r="D128" s="417"/>
      <c r="E128" s="517">
        <v>6.3972170948651081E-3</v>
      </c>
      <c r="F128" s="517">
        <v>5.5914494031205067E-3</v>
      </c>
      <c r="G128" s="517">
        <v>5.0437167946947945E-3</v>
      </c>
      <c r="H128" s="510">
        <v>4.4765698926419991E-3</v>
      </c>
      <c r="I128" s="510">
        <v>3.8314190871769687E-3</v>
      </c>
      <c r="J128" s="510">
        <v>3.3120384327183878E-3</v>
      </c>
      <c r="K128" s="510">
        <v>2.8311941904081697E-3</v>
      </c>
      <c r="L128" s="510">
        <v>2.4888424936793017E-3</v>
      </c>
      <c r="M128" s="399"/>
    </row>
    <row r="129" spans="1:13">
      <c r="A129" s="392"/>
      <c r="B129" s="286">
        <f t="shared" si="26"/>
        <v>1995</v>
      </c>
      <c r="C129" s="417"/>
      <c r="D129" s="517">
        <v>8.318417652528767E-3</v>
      </c>
      <c r="E129" s="517">
        <v>7.3254826932655556E-3</v>
      </c>
      <c r="F129" s="517">
        <v>6.5190527614286987E-3</v>
      </c>
      <c r="G129" s="510">
        <v>5.7783172238856616E-3</v>
      </c>
      <c r="H129" s="510">
        <v>5.128567278358958E-3</v>
      </c>
      <c r="I129" s="510">
        <v>4.3894524225955569E-3</v>
      </c>
      <c r="J129" s="510">
        <v>3.7944257183666888E-3</v>
      </c>
      <c r="K129" s="510">
        <v>3.2435481254237427E-3</v>
      </c>
      <c r="L129" s="510">
        <v>2.8513340526757094E-3</v>
      </c>
      <c r="M129" s="399"/>
    </row>
    <row r="130" spans="1:13">
      <c r="A130" s="392"/>
      <c r="B130" s="286">
        <f t="shared" si="26"/>
        <v>1996</v>
      </c>
      <c r="C130" s="517">
        <v>9.7972534420279235E-3</v>
      </c>
      <c r="D130" s="517">
        <v>8.4272105253480264E-3</v>
      </c>
      <c r="E130" s="517">
        <v>7.5049038159054737E-3</v>
      </c>
      <c r="F130" s="510">
        <v>6.6361298637531794E-3</v>
      </c>
      <c r="G130" s="510">
        <v>5.8820912937761326E-3</v>
      </c>
      <c r="H130" s="510">
        <v>5.2206723460735535E-3</v>
      </c>
      <c r="I130" s="510">
        <v>4.4682835640566711E-3</v>
      </c>
      <c r="J130" s="510">
        <v>3.8625706443780718E-3</v>
      </c>
      <c r="K130" s="510">
        <v>3.3017997195850068E-3</v>
      </c>
      <c r="L130" s="510">
        <v>2.9025417880420407E-3</v>
      </c>
      <c r="M130" s="399"/>
    </row>
    <row r="131" spans="1:13">
      <c r="A131" s="392"/>
      <c r="B131" s="286">
        <f t="shared" si="26"/>
        <v>1997</v>
      </c>
      <c r="C131" s="517">
        <v>1.0495131883417058E-2</v>
      </c>
      <c r="D131" s="517">
        <v>9.0814490410700225E-3</v>
      </c>
      <c r="E131" s="510">
        <v>8.0499083712024262E-3</v>
      </c>
      <c r="F131" s="510">
        <v>7.1180442352102207E-3</v>
      </c>
      <c r="G131" s="510">
        <v>6.309247541000304E-3</v>
      </c>
      <c r="H131" s="510">
        <v>5.5997964867844268E-3</v>
      </c>
      <c r="I131" s="510">
        <v>4.7927693877934515E-3</v>
      </c>
      <c r="J131" s="510">
        <v>4.1430697217787532E-3</v>
      </c>
      <c r="K131" s="510">
        <v>3.541575728977463E-3</v>
      </c>
      <c r="L131" s="510">
        <v>3.1133237694273433E-3</v>
      </c>
      <c r="M131" s="399"/>
    </row>
    <row r="132" spans="1:13">
      <c r="A132" s="392"/>
      <c r="B132" s="286">
        <f>$B$21</f>
        <v>1998</v>
      </c>
      <c r="C132" s="517">
        <v>1.0999335964150292E-2</v>
      </c>
      <c r="D132" s="510">
        <v>9.5285805499997888E-3</v>
      </c>
      <c r="E132" s="510">
        <v>8.4462512522211156E-3</v>
      </c>
      <c r="F132" s="510">
        <v>7.4685061323287189E-3</v>
      </c>
      <c r="G132" s="510">
        <v>6.6198877659755127E-3</v>
      </c>
      <c r="H132" s="510">
        <v>5.8755063918350548E-3</v>
      </c>
      <c r="I132" s="510">
        <v>5.0287447479617419E-3</v>
      </c>
      <c r="J132" s="510">
        <v>4.3470566635016436E-3</v>
      </c>
      <c r="K132" s="510">
        <v>3.7159476923640617E-3</v>
      </c>
      <c r="L132" s="510">
        <v>3.2666104474140248E-3</v>
      </c>
      <c r="M132" s="399"/>
    </row>
    <row r="133" spans="1:13">
      <c r="A133" s="392"/>
      <c r="B133" s="286">
        <f>$B$22</f>
        <v>1999</v>
      </c>
      <c r="C133" s="510">
        <v>1.0505373972218561E-2</v>
      </c>
      <c r="D133" s="510">
        <v>9.1006677519817614E-3</v>
      </c>
      <c r="E133" s="510">
        <v>8.0669440734513174E-3</v>
      </c>
      <c r="F133" s="510">
        <v>7.1331078702969565E-3</v>
      </c>
      <c r="G133" s="510">
        <v>6.3225995516775343E-3</v>
      </c>
      <c r="H133" s="510">
        <v>5.6116471142952339E-3</v>
      </c>
      <c r="I133" s="510">
        <v>4.802912135819023E-3</v>
      </c>
      <c r="J133" s="510">
        <v>4.1518375361341443E-3</v>
      </c>
      <c r="K133" s="510">
        <v>3.5490706254195873E-3</v>
      </c>
      <c r="L133" s="510">
        <v>3.1199123732094797E-3</v>
      </c>
      <c r="M133" s="399"/>
    </row>
    <row r="134" spans="1:13">
      <c r="A134" s="404"/>
      <c r="B134" s="286" t="s">
        <v>441</v>
      </c>
      <c r="C134" s="510"/>
      <c r="D134" s="510"/>
      <c r="E134" s="510"/>
      <c r="F134" s="510"/>
      <c r="G134" s="510"/>
      <c r="H134" s="510"/>
      <c r="I134" s="510"/>
      <c r="J134" s="510"/>
      <c r="K134" s="510"/>
      <c r="L134" s="510"/>
      <c r="M134" s="399"/>
    </row>
    <row r="135" spans="1:13">
      <c r="A135" s="404"/>
      <c r="B135" s="286">
        <v>2018</v>
      </c>
      <c r="C135" s="510">
        <v>2.70886470535317E-3</v>
      </c>
      <c r="D135" s="510">
        <v>2.3466539823982085E-3</v>
      </c>
      <c r="E135" s="510">
        <v>2.080103015696391E-3</v>
      </c>
      <c r="F135" s="510">
        <v>1.8393085482176067E-3</v>
      </c>
      <c r="G135" s="510">
        <v>1.6303148100118617E-3</v>
      </c>
      <c r="H135" s="510">
        <v>1.4469920677751078E-3</v>
      </c>
      <c r="I135" s="510">
        <v>1.2384555944451514E-3</v>
      </c>
      <c r="J135" s="510">
        <v>1.0705726605960248E-3</v>
      </c>
      <c r="K135" s="510">
        <v>9.1514611278274368E-4</v>
      </c>
      <c r="L135" s="510">
        <v>8.0448545039249193E-4</v>
      </c>
      <c r="M135" s="399"/>
    </row>
    <row r="136" spans="1:13">
      <c r="A136" s="392"/>
      <c r="B136" s="286">
        <f>B135+1</f>
        <v>2019</v>
      </c>
      <c r="C136" s="510">
        <v>2.7217958211345939E-3</v>
      </c>
      <c r="D136" s="510">
        <v>2.3578560384792543E-3</v>
      </c>
      <c r="E136" s="510">
        <v>2.0900326562871907E-3</v>
      </c>
      <c r="F136" s="510">
        <v>1.8480887252961306E-3</v>
      </c>
      <c r="G136" s="510">
        <v>1.6380973284694179E-3</v>
      </c>
      <c r="H136" s="510">
        <v>1.4538994714288324E-3</v>
      </c>
      <c r="I136" s="510">
        <v>1.2443675222908925E-3</v>
      </c>
      <c r="J136" s="510">
        <v>1.0756831775588088E-3</v>
      </c>
      <c r="K136" s="510">
        <v>9.1951468103125295E-4</v>
      </c>
      <c r="L136" s="510">
        <v>8.0832576566661348E-4</v>
      </c>
      <c r="M136" s="399"/>
    </row>
    <row r="137" spans="1:13">
      <c r="B137" s="56"/>
      <c r="C137" s="79"/>
      <c r="D137" s="79"/>
      <c r="E137" s="79"/>
      <c r="F137" s="79"/>
      <c r="G137" s="79"/>
      <c r="H137" s="79"/>
      <c r="I137" s="79"/>
      <c r="J137" s="79"/>
      <c r="K137" s="79"/>
      <c r="L137" s="79"/>
    </row>
    <row r="138" spans="1:13">
      <c r="B138" s="56" t="s">
        <v>425</v>
      </c>
      <c r="C138" s="513">
        <f>AVERAGE(C130:C132)</f>
        <v>1.0430573763198425E-2</v>
      </c>
      <c r="D138" s="513">
        <f>AVERAGE(D129:D131)</f>
        <v>8.6090257396489386E-3</v>
      </c>
      <c r="E138" s="513">
        <f>AVERAGE(E128:E130)</f>
        <v>7.0758678680120464E-3</v>
      </c>
      <c r="F138" s="513">
        <f>AVERAGE(F127:F129)</f>
        <v>5.7020976121892513E-3</v>
      </c>
      <c r="G138" s="513">
        <f>AVERAGE(G126:G128)</f>
        <v>4.3624586250472714E-3</v>
      </c>
      <c r="H138" s="513">
        <f>AVERAGE(H125:H127)</f>
        <v>3.4883929885357674E-3</v>
      </c>
      <c r="I138" s="513">
        <f>AVERAGE(I124:I126)</f>
        <v>2.7842295817841443E-3</v>
      </c>
      <c r="J138" s="513">
        <f>AVERAGE(J123:J125)</f>
        <v>2.5122200747555428E-3</v>
      </c>
      <c r="K138" s="513">
        <f>AVERAGE(K123:K124)</f>
        <v>2.1531978539483742E-3</v>
      </c>
      <c r="L138" s="513">
        <f>AVERAGE(L123)</f>
        <v>2.1591653741531874E-3</v>
      </c>
    </row>
    <row r="141" spans="1:13">
      <c r="A141" s="395" t="s">
        <v>446</v>
      </c>
      <c r="B141" s="395"/>
      <c r="C141" s="395"/>
      <c r="D141" s="395"/>
      <c r="E141" s="395"/>
      <c r="F141" s="395"/>
      <c r="G141" s="395"/>
      <c r="H141" s="395"/>
      <c r="I141" s="395"/>
      <c r="J141" s="395"/>
      <c r="K141" s="395"/>
      <c r="L141" s="395"/>
    </row>
    <row r="142" spans="1:13">
      <c r="A142" s="394"/>
      <c r="B142" s="394"/>
      <c r="C142" s="394"/>
      <c r="D142" s="394"/>
      <c r="E142" s="394"/>
      <c r="F142" s="394"/>
      <c r="G142" s="394"/>
      <c r="H142" s="394"/>
      <c r="I142" s="394"/>
      <c r="J142" s="394"/>
      <c r="K142" s="394"/>
      <c r="L142" s="394"/>
    </row>
    <row r="143" spans="1:13">
      <c r="A143" s="394"/>
      <c r="B143" s="286" t="s">
        <v>203</v>
      </c>
      <c r="C143" s="396" t="s">
        <v>311</v>
      </c>
      <c r="D143" s="400"/>
      <c r="E143" s="400"/>
      <c r="F143" s="400"/>
      <c r="G143" s="400"/>
      <c r="H143" s="400"/>
      <c r="I143" s="400"/>
      <c r="J143" s="400"/>
      <c r="K143" s="400"/>
      <c r="L143" s="400"/>
    </row>
    <row r="144" spans="1:13">
      <c r="A144" s="394"/>
      <c r="B144" s="26" t="s">
        <v>8</v>
      </c>
      <c r="C144" s="79">
        <v>267</v>
      </c>
      <c r="D144" s="79">
        <f>+C144+12</f>
        <v>279</v>
      </c>
      <c r="E144" s="79">
        <f>+D144+12</f>
        <v>291</v>
      </c>
      <c r="F144" s="79">
        <f>+E144+12</f>
        <v>303</v>
      </c>
      <c r="G144" s="79">
        <f>+F144+12</f>
        <v>315</v>
      </c>
      <c r="H144" s="79">
        <f t="shared" ref="H144" si="27">+G144+12</f>
        <v>327</v>
      </c>
      <c r="I144" s="79">
        <f t="shared" ref="I144" si="28">+H144+12</f>
        <v>339</v>
      </c>
      <c r="J144" s="79">
        <f t="shared" ref="J144" si="29">+I144+12</f>
        <v>351</v>
      </c>
      <c r="K144" s="79">
        <f t="shared" ref="K144" si="30">+J144+12</f>
        <v>363</v>
      </c>
      <c r="L144" s="79">
        <f t="shared" ref="L144" si="31">+K144+12</f>
        <v>375</v>
      </c>
    </row>
    <row r="145" spans="1:12">
      <c r="A145" s="394"/>
      <c r="B145" s="286">
        <f t="shared" ref="B145:B153" si="32">B146-1</f>
        <v>1989</v>
      </c>
      <c r="C145" s="402"/>
      <c r="D145" s="402"/>
      <c r="E145" s="402"/>
      <c r="F145" s="402"/>
      <c r="G145" s="402"/>
      <c r="H145" s="402"/>
      <c r="I145" s="402"/>
      <c r="J145" s="402"/>
      <c r="K145" s="402"/>
      <c r="L145" s="402"/>
    </row>
    <row r="146" spans="1:12">
      <c r="A146" s="394"/>
      <c r="B146" s="286">
        <f t="shared" si="32"/>
        <v>1990</v>
      </c>
      <c r="C146" s="402"/>
      <c r="D146" s="402"/>
      <c r="E146" s="402"/>
      <c r="F146" s="402"/>
      <c r="G146" s="402"/>
      <c r="H146" s="402"/>
      <c r="I146" s="402"/>
      <c r="J146" s="402"/>
      <c r="K146" s="402"/>
      <c r="L146" s="514">
        <f t="shared" ref="D146:L155" si="33">L124/L$138</f>
        <v>0.75329817881639682</v>
      </c>
    </row>
    <row r="147" spans="1:12">
      <c r="A147" s="394"/>
      <c r="B147" s="286">
        <f t="shared" si="32"/>
        <v>1991</v>
      </c>
      <c r="C147" s="402"/>
      <c r="D147" s="402"/>
      <c r="E147" s="402"/>
      <c r="F147" s="402"/>
      <c r="G147" s="402"/>
      <c r="H147" s="402"/>
      <c r="I147" s="402"/>
      <c r="J147" s="402"/>
      <c r="K147" s="514">
        <f t="shared" si="33"/>
        <v>1.0010645010313162</v>
      </c>
      <c r="L147" s="514">
        <f t="shared" si="33"/>
        <v>0.87758228326796606</v>
      </c>
    </row>
    <row r="148" spans="1:12">
      <c r="A148" s="394"/>
      <c r="B148" s="286">
        <f t="shared" si="32"/>
        <v>1992</v>
      </c>
      <c r="C148" s="402"/>
      <c r="D148" s="402"/>
      <c r="E148" s="402"/>
      <c r="F148" s="402"/>
      <c r="G148" s="402"/>
      <c r="H148" s="402"/>
      <c r="I148" s="402"/>
      <c r="J148" s="514">
        <f t="shared" si="33"/>
        <v>0.97798399715451256</v>
      </c>
      <c r="K148" s="514">
        <f t="shared" si="33"/>
        <v>0.97539333261698624</v>
      </c>
      <c r="L148" s="514">
        <f t="shared" si="33"/>
        <v>0.85507767685349967</v>
      </c>
    </row>
    <row r="149" spans="1:12">
      <c r="A149" s="394"/>
      <c r="B149" s="286">
        <f t="shared" si="32"/>
        <v>1993</v>
      </c>
      <c r="C149" s="402"/>
      <c r="D149" s="402"/>
      <c r="E149" s="402"/>
      <c r="F149" s="402"/>
      <c r="G149" s="402"/>
      <c r="H149" s="402"/>
      <c r="I149" s="514">
        <f t="shared" si="33"/>
        <v>1.1814869336530438</v>
      </c>
      <c r="J149" s="514">
        <f t="shared" si="33"/>
        <v>1.1319102534563052</v>
      </c>
      <c r="K149" s="514">
        <f t="shared" si="33"/>
        <v>1.1289118406378713</v>
      </c>
      <c r="L149" s="514">
        <f t="shared" si="33"/>
        <v>0.98965953711731225</v>
      </c>
    </row>
    <row r="150" spans="1:12">
      <c r="A150" s="394"/>
      <c r="B150" s="286">
        <f t="shared" si="32"/>
        <v>1994</v>
      </c>
      <c r="C150" s="402"/>
      <c r="D150" s="402"/>
      <c r="E150" s="402"/>
      <c r="F150" s="402"/>
      <c r="G150" s="402"/>
      <c r="H150" s="514">
        <f t="shared" si="33"/>
        <v>1.2832756823424911</v>
      </c>
      <c r="I150" s="514">
        <f t="shared" si="33"/>
        <v>1.376114639483782</v>
      </c>
      <c r="J150" s="514">
        <f t="shared" si="33"/>
        <v>1.3183711355545447</v>
      </c>
      <c r="K150" s="514">
        <f t="shared" si="33"/>
        <v>1.3148787907328332</v>
      </c>
      <c r="L150" s="514">
        <f t="shared" si="33"/>
        <v>1.1526872945780782</v>
      </c>
    </row>
    <row r="151" spans="1:12">
      <c r="A151" s="394"/>
      <c r="B151" s="286">
        <f t="shared" si="32"/>
        <v>1995</v>
      </c>
      <c r="C151" s="402"/>
      <c r="D151" s="402"/>
      <c r="E151" s="402"/>
      <c r="F151" s="402"/>
      <c r="G151" s="514">
        <f t="shared" si="33"/>
        <v>1.3245551925029542</v>
      </c>
      <c r="H151" s="514">
        <f t="shared" si="33"/>
        <v>1.4701804800128451</v>
      </c>
      <c r="I151" s="514">
        <f t="shared" si="33"/>
        <v>1.5765411197817889</v>
      </c>
      <c r="J151" s="514">
        <f t="shared" si="33"/>
        <v>1.5103874682379941</v>
      </c>
      <c r="K151" s="514">
        <f t="shared" si="33"/>
        <v>1.5063864751100162</v>
      </c>
      <c r="L151" s="514">
        <f t="shared" si="33"/>
        <v>1.3205723317020062</v>
      </c>
    </row>
    <row r="152" spans="1:12">
      <c r="A152" s="394"/>
      <c r="B152" s="286">
        <f t="shared" si="32"/>
        <v>1996</v>
      </c>
      <c r="C152" s="402"/>
      <c r="D152" s="402"/>
      <c r="E152" s="402"/>
      <c r="F152" s="514">
        <f t="shared" si="33"/>
        <v>1.1638050266918032</v>
      </c>
      <c r="G152" s="514">
        <f t="shared" si="33"/>
        <v>1.3483431705240287</v>
      </c>
      <c r="H152" s="514">
        <f t="shared" si="33"/>
        <v>1.4965837746007224</v>
      </c>
      <c r="I152" s="514">
        <f t="shared" si="33"/>
        <v>1.6048545684919342</v>
      </c>
      <c r="J152" s="514">
        <f t="shared" si="33"/>
        <v>1.5375128489704182</v>
      </c>
      <c r="K152" s="514">
        <f t="shared" si="33"/>
        <v>1.5334400011268876</v>
      </c>
      <c r="L152" s="514">
        <f t="shared" si="33"/>
        <v>1.3442887806499775</v>
      </c>
    </row>
    <row r="153" spans="1:12">
      <c r="A153" s="394"/>
      <c r="B153" s="286">
        <f t="shared" si="32"/>
        <v>1997</v>
      </c>
      <c r="C153" s="402"/>
      <c r="D153" s="402"/>
      <c r="E153" s="514">
        <f t="shared" si="33"/>
        <v>1.1376566834428516</v>
      </c>
      <c r="F153" s="514">
        <f t="shared" si="33"/>
        <v>1.2483203058457173</v>
      </c>
      <c r="G153" s="514">
        <f t="shared" si="33"/>
        <v>1.4462595713287567</v>
      </c>
      <c r="H153" s="514">
        <f t="shared" si="33"/>
        <v>1.6052653772632735</v>
      </c>
      <c r="I153" s="514">
        <f t="shared" si="33"/>
        <v>1.7213987737039371</v>
      </c>
      <c r="J153" s="514">
        <f t="shared" si="33"/>
        <v>1.6491667125070257</v>
      </c>
      <c r="K153" s="514">
        <f t="shared" si="33"/>
        <v>1.6447980952995958</v>
      </c>
      <c r="L153" s="514">
        <f t="shared" si="33"/>
        <v>1.4419107525047132</v>
      </c>
    </row>
    <row r="154" spans="1:12">
      <c r="A154" s="394"/>
      <c r="B154" s="286">
        <f>$B$21</f>
        <v>1998</v>
      </c>
      <c r="C154" s="402"/>
      <c r="D154" s="514">
        <f t="shared" si="33"/>
        <v>1.1068128773405606</v>
      </c>
      <c r="E154" s="514">
        <f t="shared" si="33"/>
        <v>1.1936700076614173</v>
      </c>
      <c r="F154" s="514">
        <f t="shared" si="33"/>
        <v>1.3097822310799194</v>
      </c>
      <c r="G154" s="514">
        <f t="shared" si="33"/>
        <v>1.5174671750391169</v>
      </c>
      <c r="H154" s="514">
        <f t="shared" si="33"/>
        <v>1.6843017432795793</v>
      </c>
      <c r="I154" s="514">
        <f t="shared" si="33"/>
        <v>1.8061530488945183</v>
      </c>
      <c r="J154" s="514">
        <f t="shared" si="33"/>
        <v>1.7303645915354942</v>
      </c>
      <c r="K154" s="514">
        <f t="shared" si="33"/>
        <v>1.725780882397794</v>
      </c>
      <c r="L154" s="514">
        <f t="shared" si="33"/>
        <v>1.5129042390720864</v>
      </c>
    </row>
    <row r="155" spans="1:12">
      <c r="A155" s="394"/>
      <c r="B155" s="286">
        <f>$B$22</f>
        <v>1999</v>
      </c>
      <c r="C155" s="514">
        <f>C133/C$138</f>
        <v>1.0071712458699107</v>
      </c>
      <c r="D155" s="514">
        <f t="shared" si="33"/>
        <v>1.0571077410151721</v>
      </c>
      <c r="E155" s="514">
        <f t="shared" si="33"/>
        <v>1.1400642612222367</v>
      </c>
      <c r="F155" s="514">
        <f t="shared" si="33"/>
        <v>1.2509620766660792</v>
      </c>
      <c r="G155" s="514">
        <f t="shared" si="33"/>
        <v>1.4493202331767727</v>
      </c>
      <c r="H155" s="514">
        <f t="shared" si="33"/>
        <v>1.6086625368005598</v>
      </c>
      <c r="I155" s="514">
        <f t="shared" si="33"/>
        <v>1.7250417017483521</v>
      </c>
      <c r="J155" s="514">
        <f t="shared" si="33"/>
        <v>1.652656778701264</v>
      </c>
      <c r="K155" s="514">
        <f t="shared" si="33"/>
        <v>1.648278916362268</v>
      </c>
      <c r="L155" s="514">
        <f t="shared" si="33"/>
        <v>1.444962211119698</v>
      </c>
    </row>
    <row r="156" spans="1:12">
      <c r="A156" s="404"/>
      <c r="B156" s="286" t="s">
        <v>441</v>
      </c>
      <c r="C156" s="402"/>
      <c r="D156" s="402"/>
      <c r="E156" s="402"/>
      <c r="F156" s="402"/>
      <c r="G156" s="402"/>
      <c r="H156" s="402"/>
      <c r="I156" s="402"/>
      <c r="J156" s="402"/>
      <c r="K156" s="402"/>
      <c r="L156" s="402"/>
    </row>
    <row r="157" spans="1:12">
      <c r="A157" s="404"/>
      <c r="B157" s="286">
        <v>2018</v>
      </c>
      <c r="C157" s="514">
        <f t="shared" ref="C157:L157" si="34">C135/C$138</f>
        <v>0.25970428538751117</v>
      </c>
      <c r="D157" s="514">
        <f t="shared" si="34"/>
        <v>0.27258066747212456</v>
      </c>
      <c r="E157" s="514">
        <f t="shared" si="34"/>
        <v>0.29397143283298655</v>
      </c>
      <c r="F157" s="514">
        <f t="shared" si="34"/>
        <v>0.32256700486602624</v>
      </c>
      <c r="G157" s="514">
        <f t="shared" si="34"/>
        <v>0.37371467563069338</v>
      </c>
      <c r="H157" s="514">
        <f t="shared" si="34"/>
        <v>0.41480190807930567</v>
      </c>
      <c r="I157" s="514">
        <f t="shared" si="34"/>
        <v>0.44481087427120308</v>
      </c>
      <c r="J157" s="514">
        <f t="shared" si="34"/>
        <v>0.42614604960522789</v>
      </c>
      <c r="K157" s="514">
        <f t="shared" si="34"/>
        <v>0.42501719528682269</v>
      </c>
      <c r="L157" s="514">
        <f t="shared" si="34"/>
        <v>0.37259093723101533</v>
      </c>
    </row>
    <row r="158" spans="1:12">
      <c r="B158" s="286">
        <f>B157+1</f>
        <v>2019</v>
      </c>
      <c r="C158" s="514">
        <f t="shared" ref="C158:L158" si="35">C136/C$138</f>
        <v>0.26094401735959577</v>
      </c>
      <c r="D158" s="514">
        <f t="shared" si="35"/>
        <v>0.27388186651831331</v>
      </c>
      <c r="E158" s="514">
        <f t="shared" si="35"/>
        <v>0.29537474346230014</v>
      </c>
      <c r="F158" s="514">
        <f t="shared" si="35"/>
        <v>0.32410682015430797</v>
      </c>
      <c r="G158" s="514">
        <f t="shared" si="35"/>
        <v>0.37549865093601148</v>
      </c>
      <c r="H158" s="514">
        <f t="shared" si="35"/>
        <v>0.41678201859908515</v>
      </c>
      <c r="I158" s="514">
        <f t="shared" si="35"/>
        <v>0.44693423646964392</v>
      </c>
      <c r="J158" s="514">
        <f t="shared" si="35"/>
        <v>0.4281803128507683</v>
      </c>
      <c r="K158" s="514">
        <f t="shared" si="35"/>
        <v>0.42704606980037402</v>
      </c>
      <c r="L158" s="514">
        <f t="shared" si="35"/>
        <v>0.37436954822584367</v>
      </c>
    </row>
    <row r="164" spans="1:13">
      <c r="A164" s="401"/>
      <c r="B164" s="399"/>
    </row>
    <row r="165" spans="1:13">
      <c r="A165" s="401" t="s">
        <v>76</v>
      </c>
      <c r="B165" s="399" t="s">
        <v>442</v>
      </c>
    </row>
    <row r="166" spans="1:13">
      <c r="A166" s="401"/>
      <c r="B166" s="399" t="s">
        <v>443</v>
      </c>
    </row>
    <row r="167" spans="1:13">
      <c r="A167" s="401" t="s">
        <v>170</v>
      </c>
      <c r="B167" s="399" t="s">
        <v>444</v>
      </c>
    </row>
    <row r="168" spans="1:13">
      <c r="B168" s="399"/>
    </row>
    <row r="169" spans="1:13">
      <c r="B169" s="399" t="s">
        <v>287</v>
      </c>
    </row>
    <row r="170" spans="1:13">
      <c r="A170" s="399"/>
      <c r="B170" s="399"/>
      <c r="C170" s="399"/>
      <c r="D170" s="399"/>
      <c r="E170" s="399"/>
      <c r="F170" s="399"/>
      <c r="G170" s="399"/>
      <c r="H170" s="399"/>
      <c r="I170" s="399"/>
      <c r="J170" s="399"/>
      <c r="K170" s="399"/>
      <c r="L170" s="399"/>
      <c r="M170" s="148" t="s">
        <v>426</v>
      </c>
    </row>
    <row r="171" spans="1:13">
      <c r="A171" s="279" t="str">
        <f>A2</f>
        <v>Paid Loss Development Factors</v>
      </c>
      <c r="B171" s="279"/>
      <c r="C171" s="279"/>
      <c r="D171" s="279"/>
      <c r="E171" s="279"/>
      <c r="F171" s="279"/>
      <c r="G171" s="279"/>
      <c r="H171" s="279"/>
      <c r="I171" s="279"/>
      <c r="J171" s="279"/>
      <c r="K171" s="279"/>
      <c r="L171" s="279"/>
      <c r="M171" s="279"/>
    </row>
    <row r="172" spans="1:13">
      <c r="A172" s="279" t="str">
        <f t="shared" ref="A172:A173" si="36">A3</f>
        <v>Adjusted for the Impact of Claim Settlement Rate</v>
      </c>
      <c r="B172" s="279"/>
      <c r="C172" s="279"/>
      <c r="D172" s="279"/>
      <c r="E172" s="279"/>
      <c r="F172" s="279"/>
      <c r="G172" s="279"/>
      <c r="H172" s="279"/>
      <c r="I172" s="279"/>
      <c r="J172" s="279"/>
      <c r="K172" s="279"/>
      <c r="L172" s="279"/>
      <c r="M172" s="279"/>
    </row>
    <row r="173" spans="1:13">
      <c r="A173" s="279" t="str">
        <f t="shared" si="36"/>
        <v>Changes on Later Period Development</v>
      </c>
      <c r="B173" s="279"/>
      <c r="C173" s="279"/>
      <c r="D173" s="279"/>
      <c r="E173" s="279"/>
      <c r="F173" s="279"/>
      <c r="G173" s="279"/>
      <c r="H173" s="279"/>
      <c r="I173" s="279"/>
      <c r="J173" s="279"/>
      <c r="K173" s="279"/>
      <c r="L173" s="279"/>
      <c r="M173" s="279"/>
    </row>
    <row r="174" spans="1:13">
      <c r="A174" s="279"/>
      <c r="B174" s="279"/>
      <c r="C174" s="279"/>
      <c r="D174" s="279"/>
      <c r="E174" s="279"/>
      <c r="F174" s="279"/>
      <c r="G174" s="279"/>
      <c r="H174" s="279"/>
      <c r="I174" s="279"/>
      <c r="J174" s="279"/>
      <c r="K174" s="279"/>
      <c r="L174" s="279"/>
      <c r="M174" s="279"/>
    </row>
    <row r="175" spans="1:13">
      <c r="A175" s="279"/>
      <c r="B175" s="279"/>
      <c r="C175" s="279"/>
      <c r="D175" s="279"/>
      <c r="E175" s="279"/>
      <c r="F175" s="279"/>
      <c r="G175" s="279"/>
      <c r="H175" s="279"/>
      <c r="I175" s="279"/>
      <c r="J175" s="279"/>
      <c r="K175" s="279"/>
      <c r="L175" s="279"/>
      <c r="M175" s="279"/>
    </row>
    <row r="176" spans="1:13">
      <c r="A176" s="399"/>
      <c r="B176" s="399"/>
      <c r="C176" s="399"/>
      <c r="D176" s="399"/>
      <c r="E176" s="399"/>
      <c r="F176" s="399"/>
      <c r="G176" s="399"/>
      <c r="H176" s="399"/>
      <c r="I176" s="399"/>
      <c r="J176" s="399"/>
      <c r="K176" s="399"/>
      <c r="L176" s="399"/>
      <c r="M176" s="399"/>
    </row>
    <row r="177" spans="1:12">
      <c r="C177" s="396" t="s">
        <v>448</v>
      </c>
      <c r="D177" s="400"/>
      <c r="E177" s="400"/>
      <c r="F177" s="400"/>
      <c r="G177" s="400"/>
      <c r="H177" s="400"/>
      <c r="I177" s="400"/>
      <c r="J177" s="400"/>
      <c r="K177" s="400"/>
      <c r="L177" s="400"/>
    </row>
    <row r="178" spans="1:12">
      <c r="B178" s="56" t="s">
        <v>361</v>
      </c>
      <c r="C178" s="79" t="str">
        <f t="shared" ref="C178:K178" si="37">C$11&amp;"-"&amp;C$11+12</f>
        <v>267-279</v>
      </c>
      <c r="D178" s="79" t="str">
        <f t="shared" si="37"/>
        <v>279-291</v>
      </c>
      <c r="E178" s="79" t="str">
        <f t="shared" si="37"/>
        <v>291-303</v>
      </c>
      <c r="F178" s="79" t="str">
        <f t="shared" si="37"/>
        <v>303-315</v>
      </c>
      <c r="G178" s="79" t="str">
        <f t="shared" si="37"/>
        <v>315-327</v>
      </c>
      <c r="H178" s="79" t="str">
        <f t="shared" si="37"/>
        <v>327-339</v>
      </c>
      <c r="I178" s="79" t="str">
        <f t="shared" si="37"/>
        <v>339-351</v>
      </c>
      <c r="J178" s="79" t="str">
        <f t="shared" si="37"/>
        <v>351-363</v>
      </c>
      <c r="K178" s="79" t="str">
        <f t="shared" si="37"/>
        <v>363-375</v>
      </c>
      <c r="L178" s="79" t="str">
        <f>L$11&amp;"-"&amp;L$11+12</f>
        <v>375-387</v>
      </c>
    </row>
    <row r="183" spans="1:12">
      <c r="A183" s="359" t="s">
        <v>455</v>
      </c>
      <c r="B183" s="56"/>
    </row>
    <row r="184" spans="1:12">
      <c r="B184" s="56"/>
    </row>
    <row r="185" spans="1:12">
      <c r="B185" s="56"/>
    </row>
    <row r="186" spans="1:12">
      <c r="B186" s="56" t="s">
        <v>3</v>
      </c>
      <c r="C186" s="515">
        <f ca="1">'Exhibit 2.3.2'!G$27</f>
        <v>1.0026666666666666</v>
      </c>
      <c r="D186" s="515">
        <f ca="1">'Exhibit 2.3.2'!H$27</f>
        <v>1.0023333333333333</v>
      </c>
      <c r="E186" s="515">
        <f ca="1">'Exhibit 2.3.2'!I$27</f>
        <v>1.0013333333333332</v>
      </c>
      <c r="F186" s="515">
        <f ca="1">'Exhibit 2.3.2'!J$27</f>
        <v>1.0009999999999999</v>
      </c>
      <c r="G186" s="515">
        <f ca="1">'Exhibit 2.3.2'!K$27</f>
        <v>1.0009999999999999</v>
      </c>
      <c r="H186" s="515">
        <f ca="1">'Exhibit 2.3.2'!L$27</f>
        <v>1.0006666666666666</v>
      </c>
      <c r="I186" s="515">
        <f ca="1">'Exhibit 2.3.2'!M$27</f>
        <v>1.0009999999999999</v>
      </c>
      <c r="J186" s="515">
        <f ca="1">'Exhibit 2.3.2'!N$27</f>
        <v>1.0009999999999999</v>
      </c>
      <c r="K186" s="515">
        <f ca="1">'Exhibit 2.3.2'!O$27</f>
        <v>1.0006666666666666</v>
      </c>
      <c r="L186" s="515">
        <f ca="1">'Exhibit 2.3.2'!P$27</f>
        <v>1.0009999999999999</v>
      </c>
    </row>
    <row r="187" spans="1:12">
      <c r="B187" s="56" t="s">
        <v>5</v>
      </c>
      <c r="C187" s="515">
        <f ca="1">'Exhibit 2.4.2'!G$49</f>
        <v>1.0090000000000001</v>
      </c>
      <c r="D187" s="515">
        <f ca="1">'Exhibit 2.4.2'!H$49</f>
        <v>1.0076666666666665</v>
      </c>
      <c r="E187" s="515">
        <f ca="1">'Exhibit 2.4.2'!I$49</f>
        <v>1.0066666666666666</v>
      </c>
      <c r="F187" s="515">
        <f ca="1">'Exhibit 2.4.2'!J$49</f>
        <v>1.0063333333333333</v>
      </c>
      <c r="G187" s="515">
        <f ca="1">'Exhibit 2.4.2'!K$49</f>
        <v>1.0046666666666666</v>
      </c>
      <c r="H187" s="515">
        <f ca="1">'Exhibit 2.4.2'!L$49</f>
        <v>1.0033333333333332</v>
      </c>
      <c r="I187" s="515">
        <f ca="1">'Exhibit 2.4.2'!M$49</f>
        <v>1.0033333333333332</v>
      </c>
      <c r="J187" s="515">
        <f ca="1">'Exhibit 2.4.2'!N$49</f>
        <v>1.0033333333333332</v>
      </c>
      <c r="K187" s="515">
        <f ca="1">'Exhibit 2.4.2'!O$49</f>
        <v>1.0033333333333332</v>
      </c>
      <c r="L187" s="515">
        <f ca="1">'Exhibit 2.4.2'!P$49</f>
        <v>1.0036666666666667</v>
      </c>
    </row>
    <row r="192" spans="1:12">
      <c r="A192" s="359" t="s">
        <v>447</v>
      </c>
      <c r="B192" s="56"/>
      <c r="C192" s="56"/>
    </row>
    <row r="193" spans="1:12">
      <c r="B193" s="56"/>
      <c r="C193" s="56"/>
    </row>
    <row r="194" spans="1:12">
      <c r="B194" s="56"/>
    </row>
    <row r="195" spans="1:12">
      <c r="B195" s="403" t="str">
        <f>"Accident Year "&amp;$B$157</f>
        <v>Accident Year 2018</v>
      </c>
      <c r="C195" s="514">
        <f>(C157-1)*0.4+1</f>
        <v>0.70388171415500445</v>
      </c>
      <c r="D195" s="514">
        <f t="shared" ref="D195:L195" si="38">(D157-1)*0.4+1</f>
        <v>0.7090322669888498</v>
      </c>
      <c r="E195" s="514">
        <f t="shared" si="38"/>
        <v>0.71758857313319457</v>
      </c>
      <c r="F195" s="514">
        <f t="shared" si="38"/>
        <v>0.72902680194641056</v>
      </c>
      <c r="G195" s="514">
        <f t="shared" si="38"/>
        <v>0.74948587025227731</v>
      </c>
      <c r="H195" s="514">
        <f t="shared" si="38"/>
        <v>0.76592076323172231</v>
      </c>
      <c r="I195" s="514">
        <f t="shared" si="38"/>
        <v>0.77792434970848123</v>
      </c>
      <c r="J195" s="514">
        <f t="shared" si="38"/>
        <v>0.77045841984209118</v>
      </c>
      <c r="K195" s="514">
        <f t="shared" si="38"/>
        <v>0.77000687811472912</v>
      </c>
      <c r="L195" s="514">
        <f t="shared" si="38"/>
        <v>0.74903637489240604</v>
      </c>
    </row>
    <row r="196" spans="1:12">
      <c r="B196" s="403" t="str">
        <f>"Accident Year "&amp;$B$158</f>
        <v>Accident Year 2019</v>
      </c>
      <c r="C196" s="514">
        <f t="shared" ref="C196:L196" si="39">(C158-1)*0.4+1</f>
        <v>0.70437760694383833</v>
      </c>
      <c r="D196" s="514">
        <f t="shared" si="39"/>
        <v>0.70955274660732526</v>
      </c>
      <c r="E196" s="514">
        <f t="shared" si="39"/>
        <v>0.71814989738492008</v>
      </c>
      <c r="F196" s="514">
        <f t="shared" si="39"/>
        <v>0.72964272806172326</v>
      </c>
      <c r="G196" s="514">
        <f t="shared" si="39"/>
        <v>0.75019946037440455</v>
      </c>
      <c r="H196" s="514">
        <f t="shared" si="39"/>
        <v>0.7667128074396341</v>
      </c>
      <c r="I196" s="514">
        <f t="shared" si="39"/>
        <v>0.77877369458785761</v>
      </c>
      <c r="J196" s="514">
        <f t="shared" si="39"/>
        <v>0.7712721251403073</v>
      </c>
      <c r="K196" s="514">
        <f t="shared" si="39"/>
        <v>0.77081842792014954</v>
      </c>
      <c r="L196" s="514">
        <f t="shared" si="39"/>
        <v>0.74974781929033751</v>
      </c>
    </row>
    <row r="201" spans="1:12">
      <c r="A201" s="359" t="s">
        <v>454</v>
      </c>
      <c r="B201" s="56"/>
      <c r="C201" s="56"/>
    </row>
    <row r="202" spans="1:12">
      <c r="A202" s="359"/>
      <c r="B202" s="56"/>
      <c r="C202" s="56"/>
    </row>
    <row r="203" spans="1:12">
      <c r="B203" s="56"/>
      <c r="C203" s="56"/>
    </row>
    <row r="204" spans="1:12">
      <c r="B204" s="56" t="s">
        <v>3</v>
      </c>
    </row>
    <row r="205" spans="1:12">
      <c r="B205" s="56" t="str">
        <f>$B$195</f>
        <v>Accident Year 2018</v>
      </c>
      <c r="C205" s="516">
        <v>1.0018603110050033</v>
      </c>
      <c r="D205" s="516">
        <v>1.0016089854364583</v>
      </c>
      <c r="E205" s="516">
        <v>1.001132493979243</v>
      </c>
      <c r="F205" s="516">
        <v>1.0007240514338713</v>
      </c>
      <c r="G205" s="516">
        <v>1.0006728057647194</v>
      </c>
      <c r="H205" s="516">
        <v>1.0006749368418606</v>
      </c>
      <c r="I205" s="516">
        <v>1.0005337970947019</v>
      </c>
      <c r="J205" s="516">
        <v>1.0005797665539342</v>
      </c>
      <c r="K205" s="516">
        <v>1.0004782756643824</v>
      </c>
      <c r="L205" s="516">
        <v>1.0006537956810391</v>
      </c>
    </row>
    <row r="206" spans="1:12">
      <c r="B206" s="56" t="str">
        <f>$B$196</f>
        <v>Accident Year 2019</v>
      </c>
      <c r="C206" s="516">
        <v>1.0018616216155702</v>
      </c>
      <c r="D206" s="516">
        <v>1.0016101665450834</v>
      </c>
      <c r="E206" s="516">
        <v>1.0011333798578081</v>
      </c>
      <c r="F206" s="516">
        <v>1.0007246631564934</v>
      </c>
      <c r="G206" s="516">
        <v>1.00067344634724</v>
      </c>
      <c r="H206" s="516">
        <v>1.0006756347989365</v>
      </c>
      <c r="I206" s="516">
        <v>1.0005343798992243</v>
      </c>
      <c r="J206" s="516">
        <v>1.000580378863573</v>
      </c>
      <c r="K206" s="516">
        <v>1.0004787797436749</v>
      </c>
      <c r="L206" s="516">
        <v>1.000654416664599</v>
      </c>
    </row>
    <row r="207" spans="1:12">
      <c r="C207" s="161"/>
      <c r="D207" s="161"/>
      <c r="E207" s="161"/>
      <c r="F207" s="161"/>
      <c r="G207" s="161"/>
      <c r="H207" s="161"/>
      <c r="I207" s="161"/>
      <c r="J207" s="161"/>
      <c r="K207" s="161"/>
      <c r="L207" s="161"/>
    </row>
    <row r="208" spans="1:12">
      <c r="C208" s="161"/>
      <c r="D208" s="161"/>
      <c r="E208" s="161"/>
      <c r="F208" s="161"/>
      <c r="G208" s="161"/>
      <c r="H208" s="161"/>
      <c r="I208" s="161"/>
      <c r="J208" s="161"/>
      <c r="K208" s="161"/>
      <c r="L208" s="161"/>
    </row>
    <row r="209" spans="1:12">
      <c r="B209" s="56" t="s">
        <v>5</v>
      </c>
      <c r="C209" s="161"/>
      <c r="D209" s="161"/>
      <c r="E209" s="161"/>
      <c r="F209" s="161"/>
      <c r="G209" s="161"/>
      <c r="H209" s="161"/>
      <c r="I209" s="161"/>
      <c r="J209" s="161"/>
      <c r="K209" s="161"/>
      <c r="L209" s="161"/>
    </row>
    <row r="210" spans="1:12">
      <c r="B210" s="56" t="str">
        <f>$B$195</f>
        <v>Accident Year 2018</v>
      </c>
      <c r="C210" s="516">
        <v>1.0063349354273952</v>
      </c>
      <c r="D210" s="516">
        <v>1.0054359140469145</v>
      </c>
      <c r="E210" s="516">
        <v>1.004783923820888</v>
      </c>
      <c r="F210" s="516">
        <v>1.0046171697456605</v>
      </c>
      <c r="G210" s="516">
        <v>1.003497600727844</v>
      </c>
      <c r="H210" s="516">
        <v>1.0025530692107723</v>
      </c>
      <c r="I210" s="516">
        <v>1.0025930811656949</v>
      </c>
      <c r="J210" s="516">
        <v>1.0025681947328069</v>
      </c>
      <c r="K210" s="516">
        <v>1.0025666895937158</v>
      </c>
      <c r="L210" s="516">
        <v>1.0027464667079389</v>
      </c>
    </row>
    <row r="211" spans="1:12">
      <c r="B211" s="56" t="str">
        <f>$B$196</f>
        <v>Accident Year 2019</v>
      </c>
      <c r="C211" s="516">
        <v>1.0063393984624946</v>
      </c>
      <c r="D211" s="516">
        <v>1.0054399043906561</v>
      </c>
      <c r="E211" s="516">
        <v>1.0047876659825661</v>
      </c>
      <c r="F211" s="516">
        <v>1.0046210706110577</v>
      </c>
      <c r="G211" s="516">
        <v>1.0035009308150804</v>
      </c>
      <c r="H211" s="516">
        <v>1.0025557093581321</v>
      </c>
      <c r="I211" s="516">
        <v>1.0025959123152928</v>
      </c>
      <c r="J211" s="516">
        <v>1.0025709070838009</v>
      </c>
      <c r="K211" s="516">
        <v>1.0025693947597336</v>
      </c>
      <c r="L211" s="516">
        <v>1.002749075337398</v>
      </c>
    </row>
    <row r="219" spans="1:12">
      <c r="A219" s="401" t="s">
        <v>174</v>
      </c>
      <c r="B219" s="399" t="s">
        <v>449</v>
      </c>
    </row>
    <row r="220" spans="1:12">
      <c r="A220" s="401"/>
      <c r="B220" s="399" t="s">
        <v>450</v>
      </c>
    </row>
    <row r="221" spans="1:12">
      <c r="A221" s="401" t="s">
        <v>98</v>
      </c>
      <c r="B221" s="399" t="s">
        <v>451</v>
      </c>
    </row>
    <row r="222" spans="1:12">
      <c r="A222" s="401"/>
      <c r="B222" s="399" t="s">
        <v>452</v>
      </c>
    </row>
    <row r="223" spans="1:12">
      <c r="A223" s="401" t="s">
        <v>284</v>
      </c>
      <c r="B223" s="399" t="s">
        <v>453</v>
      </c>
    </row>
    <row r="225" spans="2:2">
      <c r="B225" s="399" t="s">
        <v>287</v>
      </c>
    </row>
  </sheetData>
  <printOptions horizontalCentered="1"/>
  <pageMargins left="0.25" right="0.25" top="0.33" bottom="0.5" header="0.2" footer="0.3"/>
  <pageSetup scale="86" fitToHeight="4" orientation="portrait" blackAndWhite="1" r:id="rId1"/>
  <headerFooter scaleWithDoc="0"/>
  <rowBreaks count="3" manualBreakCount="3">
    <brk id="54" max="12" man="1"/>
    <brk id="111" max="12" man="1"/>
    <brk id="16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57"/>
  <sheetViews>
    <sheetView zoomScaleNormal="100" zoomScaleSheetLayoutView="100" workbookViewId="0">
      <selection sqref="A1:V1"/>
    </sheetView>
  </sheetViews>
  <sheetFormatPr defaultColWidth="9.1328125" defaultRowHeight="12.75"/>
  <cols>
    <col min="1" max="1" width="20.265625" style="122" customWidth="1"/>
    <col min="2" max="2" width="8" style="167" customWidth="1"/>
    <col min="3" max="6" width="8" style="122" customWidth="1"/>
    <col min="7" max="20" width="7.73046875" style="122" customWidth="1"/>
    <col min="21" max="21" width="7.73046875" style="321" customWidth="1"/>
    <col min="22" max="22" width="7.73046875" style="266" customWidth="1"/>
    <col min="23" max="16384" width="9.1328125" style="122"/>
  </cols>
  <sheetData>
    <row r="1" spans="1:23" ht="12.75" customHeight="1">
      <c r="A1" s="540" t="str">
        <f>"Selected Medical Development Factors - Paid to Ultimate"</f>
        <v>Selected Medical Development Factors - Paid to Ultimate</v>
      </c>
      <c r="B1" s="540"/>
      <c r="C1" s="540"/>
      <c r="D1" s="540"/>
      <c r="E1" s="540"/>
      <c r="F1" s="540"/>
      <c r="G1" s="540"/>
      <c r="H1" s="540"/>
      <c r="I1" s="540"/>
      <c r="J1" s="540"/>
      <c r="K1" s="540"/>
      <c r="L1" s="540"/>
      <c r="M1" s="540"/>
      <c r="N1" s="540"/>
      <c r="O1" s="540"/>
      <c r="P1" s="540"/>
      <c r="Q1" s="540"/>
      <c r="R1" s="540"/>
      <c r="S1" s="540"/>
      <c r="T1" s="540"/>
      <c r="U1" s="540"/>
      <c r="V1" s="540"/>
      <c r="W1" s="17"/>
    </row>
    <row r="2" spans="1:23" ht="12" customHeight="1">
      <c r="A2" s="17"/>
      <c r="B2" s="17"/>
      <c r="C2" s="17"/>
      <c r="D2" s="17"/>
      <c r="E2" s="17"/>
      <c r="F2" s="17"/>
      <c r="G2" s="17"/>
      <c r="H2" s="17"/>
      <c r="I2" s="17"/>
      <c r="J2" s="17"/>
      <c r="K2" s="17"/>
      <c r="L2" s="17"/>
      <c r="M2" s="17"/>
      <c r="N2" s="17"/>
      <c r="O2" s="17"/>
      <c r="P2" s="17"/>
      <c r="Q2" s="17"/>
      <c r="R2" s="17"/>
      <c r="S2" s="17"/>
      <c r="T2" s="17"/>
      <c r="U2" s="17"/>
      <c r="V2" s="17"/>
      <c r="W2" s="17"/>
    </row>
    <row r="3" spans="1:23" ht="12" customHeight="1">
      <c r="A3" s="1" t="s">
        <v>457</v>
      </c>
      <c r="B3" s="541" t="s">
        <v>18</v>
      </c>
      <c r="C3" s="541"/>
      <c r="D3" s="541"/>
      <c r="E3" s="541"/>
      <c r="F3" s="541"/>
      <c r="G3" s="541"/>
      <c r="H3" s="541"/>
      <c r="I3" s="541"/>
      <c r="J3" s="541"/>
      <c r="K3" s="541"/>
      <c r="L3" s="541"/>
      <c r="M3" s="541"/>
      <c r="N3" s="541"/>
      <c r="O3" s="541"/>
      <c r="P3" s="541"/>
      <c r="Q3" s="541"/>
      <c r="R3" s="541"/>
      <c r="S3" s="541"/>
      <c r="T3" s="541"/>
      <c r="U3" s="541"/>
      <c r="V3" s="541"/>
      <c r="W3" s="17"/>
    </row>
    <row r="4" spans="1:23" ht="12" customHeight="1">
      <c r="A4" s="19" t="s">
        <v>19</v>
      </c>
      <c r="B4" s="19" t="s">
        <v>470</v>
      </c>
      <c r="C4" s="19" t="s">
        <v>471</v>
      </c>
      <c r="D4" s="19" t="s">
        <v>472</v>
      </c>
      <c r="E4" s="19" t="s">
        <v>473</v>
      </c>
      <c r="F4" s="19" t="s">
        <v>474</v>
      </c>
      <c r="G4" s="19" t="s">
        <v>475</v>
      </c>
      <c r="H4" s="19" t="s">
        <v>476</v>
      </c>
      <c r="I4" s="19" t="s">
        <v>477</v>
      </c>
      <c r="J4" s="19" t="s">
        <v>478</v>
      </c>
      <c r="K4" s="19" t="s">
        <v>479</v>
      </c>
      <c r="L4" s="19" t="s">
        <v>480</v>
      </c>
      <c r="M4" s="19" t="s">
        <v>481</v>
      </c>
      <c r="N4" s="19" t="s">
        <v>482</v>
      </c>
      <c r="O4" s="19" t="s">
        <v>483</v>
      </c>
      <c r="P4" s="19" t="s">
        <v>484</v>
      </c>
      <c r="Q4" s="19" t="s">
        <v>485</v>
      </c>
      <c r="R4" s="19" t="s">
        <v>486</v>
      </c>
      <c r="S4" s="19" t="s">
        <v>487</v>
      </c>
      <c r="T4" s="19" t="s">
        <v>488</v>
      </c>
      <c r="U4" s="19" t="s">
        <v>489</v>
      </c>
      <c r="V4" s="19" t="s">
        <v>490</v>
      </c>
      <c r="W4" s="17"/>
    </row>
    <row r="5" spans="1:23" s="321" customFormat="1" ht="12" customHeight="1">
      <c r="A5" s="1">
        <v>1996</v>
      </c>
      <c r="B5" s="21"/>
      <c r="C5" s="21"/>
      <c r="D5" s="21"/>
      <c r="E5" s="21"/>
      <c r="F5" s="21"/>
      <c r="G5" s="21"/>
      <c r="H5" s="21"/>
      <c r="I5" s="21"/>
      <c r="J5" s="21"/>
      <c r="K5" s="21"/>
      <c r="L5" s="21"/>
      <c r="M5" s="21"/>
      <c r="N5" s="21"/>
      <c r="O5" s="21"/>
      <c r="P5" s="21"/>
      <c r="Q5" s="21"/>
      <c r="R5" s="21"/>
      <c r="S5" s="21"/>
      <c r="T5" s="21"/>
      <c r="U5" s="21"/>
      <c r="V5" s="21">
        <v>1.008</v>
      </c>
      <c r="W5" s="17"/>
    </row>
    <row r="6" spans="1:23" s="266" customFormat="1" ht="12" customHeight="1">
      <c r="A6" s="1">
        <v>1997</v>
      </c>
      <c r="B6" s="21"/>
      <c r="C6" s="21"/>
      <c r="D6" s="21"/>
      <c r="E6" s="21"/>
      <c r="F6" s="21"/>
      <c r="G6" s="21"/>
      <c r="H6" s="21"/>
      <c r="I6" s="21"/>
      <c r="J6" s="21"/>
      <c r="K6" s="21"/>
      <c r="L6" s="21"/>
      <c r="M6" s="21"/>
      <c r="N6" s="21"/>
      <c r="O6" s="21"/>
      <c r="P6" s="21"/>
      <c r="Q6" s="21"/>
      <c r="R6" s="21"/>
      <c r="S6" s="21"/>
      <c r="T6" s="21"/>
      <c r="U6" s="21">
        <v>1.0069999999999999</v>
      </c>
      <c r="V6" s="21">
        <v>1.008</v>
      </c>
      <c r="W6" s="17"/>
    </row>
    <row r="7" spans="1:23" s="224" customFormat="1" ht="12" customHeight="1">
      <c r="A7" s="1">
        <v>1998</v>
      </c>
      <c r="B7" s="21"/>
      <c r="C7" s="21"/>
      <c r="D7" s="21"/>
      <c r="E7" s="21"/>
      <c r="F7" s="21"/>
      <c r="G7" s="21"/>
      <c r="H7" s="21"/>
      <c r="I7" s="21"/>
      <c r="J7" s="21"/>
      <c r="K7" s="21"/>
      <c r="L7" s="21"/>
      <c r="M7" s="21"/>
      <c r="N7" s="21"/>
      <c r="O7" s="21"/>
      <c r="P7" s="21"/>
      <c r="Q7" s="21"/>
      <c r="R7" s="21"/>
      <c r="S7" s="21"/>
      <c r="T7" s="21">
        <v>1.008</v>
      </c>
      <c r="U7" s="21">
        <v>1.01</v>
      </c>
      <c r="V7" s="21">
        <v>1.0089999999999999</v>
      </c>
      <c r="W7" s="17"/>
    </row>
    <row r="8" spans="1:23" ht="12" customHeight="1">
      <c r="A8" s="1">
        <v>1999</v>
      </c>
      <c r="B8" s="21"/>
      <c r="C8" s="21"/>
      <c r="D8" s="21"/>
      <c r="E8" s="21"/>
      <c r="F8" s="21"/>
      <c r="G8" s="21"/>
      <c r="H8" s="21"/>
      <c r="I8" s="21"/>
      <c r="J8" s="21"/>
      <c r="K8" s="21"/>
      <c r="L8" s="21"/>
      <c r="M8" s="21"/>
      <c r="N8" s="21"/>
      <c r="O8" s="21"/>
      <c r="P8" s="21"/>
      <c r="Q8" s="21"/>
      <c r="R8" s="21"/>
      <c r="S8" s="21">
        <v>1.0089999999999999</v>
      </c>
      <c r="T8" s="21">
        <v>1.01</v>
      </c>
      <c r="U8" s="21">
        <v>1.0089999999999999</v>
      </c>
      <c r="V8" s="21" t="s">
        <v>34</v>
      </c>
      <c r="W8" s="17"/>
    </row>
    <row r="9" spans="1:23" ht="12" customHeight="1">
      <c r="A9" s="1">
        <v>2000</v>
      </c>
      <c r="B9" s="21"/>
      <c r="C9" s="21"/>
      <c r="D9" s="21"/>
      <c r="E9" s="21"/>
      <c r="F9" s="21"/>
      <c r="G9" s="21"/>
      <c r="H9" s="21"/>
      <c r="I9" s="21"/>
      <c r="J9" s="21"/>
      <c r="K9" s="21"/>
      <c r="L9" s="21"/>
      <c r="M9" s="21"/>
      <c r="N9" s="21"/>
      <c r="O9" s="21"/>
      <c r="P9" s="21"/>
      <c r="Q9" s="21"/>
      <c r="R9" s="21">
        <v>1.008</v>
      </c>
      <c r="S9" s="21">
        <v>1.008</v>
      </c>
      <c r="T9" s="21">
        <v>1.0069999999999999</v>
      </c>
      <c r="U9" s="21" t="s">
        <v>34</v>
      </c>
      <c r="V9" s="21"/>
      <c r="W9" s="17"/>
    </row>
    <row r="10" spans="1:23" ht="12" customHeight="1">
      <c r="A10" s="1">
        <v>2001</v>
      </c>
      <c r="B10" s="21"/>
      <c r="C10" s="21"/>
      <c r="D10" s="21"/>
      <c r="E10" s="21"/>
      <c r="F10" s="21"/>
      <c r="G10" s="21"/>
      <c r="H10" s="21"/>
      <c r="I10" s="21"/>
      <c r="J10" s="21"/>
      <c r="K10" s="21"/>
      <c r="L10" s="21"/>
      <c r="M10" s="21"/>
      <c r="N10" s="21"/>
      <c r="O10" s="21"/>
      <c r="P10" s="21"/>
      <c r="Q10" s="21">
        <v>1.0109999999999999</v>
      </c>
      <c r="R10" s="21">
        <v>1.0109999999999999</v>
      </c>
      <c r="S10" s="21">
        <v>1.0109999999999999</v>
      </c>
      <c r="T10" s="21"/>
      <c r="U10" s="21"/>
      <c r="V10" s="21"/>
      <c r="W10" s="17"/>
    </row>
    <row r="11" spans="1:23" ht="12" customHeight="1">
      <c r="A11" s="1">
        <v>2002</v>
      </c>
      <c r="B11" s="21"/>
      <c r="C11" s="21"/>
      <c r="D11" s="21"/>
      <c r="E11" s="21"/>
      <c r="F11" s="21"/>
      <c r="G11" s="21"/>
      <c r="H11" s="21"/>
      <c r="I11" s="21"/>
      <c r="J11" s="21"/>
      <c r="K11" s="21"/>
      <c r="L11" s="21"/>
      <c r="M11" s="21"/>
      <c r="N11" s="21"/>
      <c r="O11" s="21"/>
      <c r="P11" s="21">
        <v>1.012</v>
      </c>
      <c r="Q11" s="21">
        <v>1.01</v>
      </c>
      <c r="R11" s="21">
        <v>1.01</v>
      </c>
      <c r="S11" s="21"/>
      <c r="T11" s="21"/>
      <c r="U11" s="21"/>
      <c r="V11" s="21"/>
      <c r="W11" s="17"/>
    </row>
    <row r="12" spans="1:23" ht="12" customHeight="1">
      <c r="A12" s="1">
        <v>2003</v>
      </c>
      <c r="B12" s="21"/>
      <c r="C12" s="21"/>
      <c r="D12" s="21"/>
      <c r="E12" s="21"/>
      <c r="F12" s="21"/>
      <c r="G12" s="21"/>
      <c r="H12" s="21"/>
      <c r="I12" s="21"/>
      <c r="J12" s="21"/>
      <c r="K12" s="21"/>
      <c r="L12" s="21"/>
      <c r="M12" s="21"/>
      <c r="N12" s="21"/>
      <c r="O12" s="21">
        <v>1.0129999999999999</v>
      </c>
      <c r="P12" s="21">
        <v>1.012</v>
      </c>
      <c r="Q12" s="21">
        <v>1.0129999999999999</v>
      </c>
      <c r="R12" s="21"/>
      <c r="S12" s="21"/>
      <c r="T12" s="21"/>
      <c r="U12" s="21"/>
      <c r="V12" s="21"/>
      <c r="W12" s="17"/>
    </row>
    <row r="13" spans="1:23" ht="12" customHeight="1">
      <c r="A13" s="1">
        <v>2004</v>
      </c>
      <c r="B13" s="21"/>
      <c r="C13" s="21"/>
      <c r="D13" s="21"/>
      <c r="E13" s="21"/>
      <c r="F13" s="21"/>
      <c r="G13" s="21"/>
      <c r="H13" s="21"/>
      <c r="I13" s="21"/>
      <c r="J13" s="21"/>
      <c r="K13" s="21"/>
      <c r="L13" s="21"/>
      <c r="M13" s="21"/>
      <c r="N13" s="21">
        <v>1.0149999999999999</v>
      </c>
      <c r="O13" s="21">
        <v>1.0129999999999999</v>
      </c>
      <c r="P13" s="21">
        <v>1.0129999999999999</v>
      </c>
      <c r="Q13" s="21"/>
      <c r="R13" s="21"/>
      <c r="S13" s="21"/>
      <c r="T13" s="21"/>
      <c r="U13" s="21"/>
      <c r="V13" s="21"/>
      <c r="W13" s="17"/>
    </row>
    <row r="14" spans="1:23" ht="12" customHeight="1">
      <c r="A14" s="1">
        <v>2005</v>
      </c>
      <c r="B14" s="21"/>
      <c r="C14" s="21"/>
      <c r="D14" s="21"/>
      <c r="E14" s="21"/>
      <c r="F14" s="21"/>
      <c r="G14" s="21"/>
      <c r="H14" s="21"/>
      <c r="I14" s="21"/>
      <c r="J14" s="21"/>
      <c r="K14" s="21"/>
      <c r="L14" s="21"/>
      <c r="M14" s="21">
        <v>1.0189999999999999</v>
      </c>
      <c r="N14" s="21">
        <v>1.0149999999999999</v>
      </c>
      <c r="O14" s="21">
        <v>1.0149999999999999</v>
      </c>
      <c r="P14" s="21"/>
      <c r="Q14" s="21"/>
      <c r="R14" s="21"/>
      <c r="S14" s="21"/>
      <c r="T14" s="21"/>
      <c r="U14" s="21"/>
      <c r="V14" s="21"/>
      <c r="W14" s="17"/>
    </row>
    <row r="15" spans="1:23" ht="12" customHeight="1">
      <c r="A15" s="1">
        <v>2006</v>
      </c>
      <c r="B15" s="21"/>
      <c r="C15" s="21"/>
      <c r="D15" s="21"/>
      <c r="E15" s="21"/>
      <c r="F15" s="21"/>
      <c r="G15" s="21"/>
      <c r="H15" s="21"/>
      <c r="I15" s="21"/>
      <c r="J15" s="21"/>
      <c r="K15" s="21"/>
      <c r="L15" s="21">
        <v>1.02</v>
      </c>
      <c r="M15" s="21">
        <v>1.016</v>
      </c>
      <c r="N15" s="21">
        <v>1.014</v>
      </c>
      <c r="O15" s="21"/>
      <c r="P15" s="21"/>
      <c r="Q15" s="21"/>
      <c r="R15" s="21"/>
      <c r="S15" s="21"/>
      <c r="T15" s="21"/>
      <c r="U15" s="21"/>
      <c r="V15" s="21"/>
      <c r="W15" s="17"/>
    </row>
    <row r="16" spans="1:23" ht="12" customHeight="1">
      <c r="A16" s="1">
        <v>2007</v>
      </c>
      <c r="B16" s="21"/>
      <c r="C16" s="21"/>
      <c r="D16" s="21"/>
      <c r="E16" s="21"/>
      <c r="F16" s="21"/>
      <c r="G16" s="21"/>
      <c r="H16" s="21"/>
      <c r="I16" s="21"/>
      <c r="J16" s="21"/>
      <c r="K16" s="21">
        <v>1.022</v>
      </c>
      <c r="L16" s="21">
        <v>1.0209999999999999</v>
      </c>
      <c r="M16" s="21">
        <v>1.0169999999999999</v>
      </c>
      <c r="N16" s="21"/>
      <c r="O16" s="21"/>
      <c r="P16" s="21"/>
      <c r="Q16" s="21"/>
      <c r="R16" s="21"/>
      <c r="S16" s="21"/>
      <c r="T16" s="21"/>
      <c r="U16" s="21"/>
      <c r="V16" s="21"/>
      <c r="W16" s="17"/>
    </row>
    <row r="17" spans="1:23" ht="12" customHeight="1">
      <c r="A17" s="1">
        <v>2008</v>
      </c>
      <c r="B17" s="21"/>
      <c r="C17" s="21"/>
      <c r="D17" s="21"/>
      <c r="E17" s="21"/>
      <c r="F17" s="21"/>
      <c r="G17" s="21"/>
      <c r="H17" s="21"/>
      <c r="I17" s="21"/>
      <c r="J17" s="21">
        <v>1.026</v>
      </c>
      <c r="K17" s="21">
        <v>1.02</v>
      </c>
      <c r="L17" s="21">
        <v>1.0169999999999999</v>
      </c>
      <c r="M17" s="21"/>
      <c r="N17" s="21"/>
      <c r="O17" s="21"/>
      <c r="P17" s="21"/>
      <c r="Q17" s="21"/>
      <c r="R17" s="21"/>
      <c r="S17" s="21"/>
      <c r="T17" s="21"/>
      <c r="U17" s="21"/>
      <c r="V17" s="21"/>
      <c r="W17" s="17"/>
    </row>
    <row r="18" spans="1:23" ht="12" customHeight="1">
      <c r="A18" s="1">
        <v>2009</v>
      </c>
      <c r="B18" s="21"/>
      <c r="C18" s="21"/>
      <c r="D18" s="21"/>
      <c r="E18" s="21"/>
      <c r="F18" s="21"/>
      <c r="G18" s="21"/>
      <c r="H18" s="21"/>
      <c r="I18" s="21">
        <v>1.0309999999999999</v>
      </c>
      <c r="J18" s="21">
        <v>1.0249999999999999</v>
      </c>
      <c r="K18" s="21">
        <v>1.0189999999999999</v>
      </c>
      <c r="L18" s="21"/>
      <c r="M18" s="21"/>
      <c r="N18" s="21"/>
      <c r="O18" s="21"/>
      <c r="P18" s="21"/>
      <c r="Q18" s="21"/>
      <c r="R18" s="21"/>
      <c r="S18" s="21"/>
      <c r="T18" s="21"/>
      <c r="U18" s="21"/>
      <c r="V18" s="21"/>
      <c r="W18" s="17"/>
    </row>
    <row r="19" spans="1:23" ht="12" customHeight="1">
      <c r="A19" s="1">
        <v>2010</v>
      </c>
      <c r="B19" s="21"/>
      <c r="C19" s="21"/>
      <c r="D19" s="21"/>
      <c r="E19" s="21"/>
      <c r="F19" s="21"/>
      <c r="G19" s="21"/>
      <c r="H19" s="21">
        <v>1.0409999999999999</v>
      </c>
      <c r="I19" s="21">
        <v>1.0289999999999999</v>
      </c>
      <c r="J19" s="21">
        <v>1.0269999999999999</v>
      </c>
      <c r="K19" s="21"/>
      <c r="L19" s="21"/>
      <c r="M19" s="21"/>
      <c r="N19" s="21"/>
      <c r="O19" s="21"/>
      <c r="P19" s="21"/>
      <c r="Q19" s="21"/>
      <c r="R19" s="21"/>
      <c r="S19" s="21"/>
      <c r="T19" s="21"/>
      <c r="U19" s="21"/>
      <c r="V19" s="21"/>
      <c r="W19" s="17"/>
    </row>
    <row r="20" spans="1:23" ht="12" customHeight="1">
      <c r="A20" s="1">
        <v>2011</v>
      </c>
      <c r="B20" s="21"/>
      <c r="C20" s="21"/>
      <c r="D20" s="21"/>
      <c r="E20" s="21"/>
      <c r="F20" s="21"/>
      <c r="G20" s="21">
        <v>1.0589999999999999</v>
      </c>
      <c r="H20" s="21">
        <v>1.0409999999999999</v>
      </c>
      <c r="I20" s="21">
        <v>1.0289999999999999</v>
      </c>
      <c r="J20" s="21"/>
      <c r="K20" s="21"/>
      <c r="L20" s="21"/>
      <c r="M20" s="21"/>
      <c r="N20" s="21"/>
      <c r="O20" s="21"/>
      <c r="P20" s="21"/>
      <c r="Q20" s="21"/>
      <c r="R20" s="21"/>
      <c r="S20" s="21"/>
      <c r="T20" s="21"/>
      <c r="U20" s="21"/>
      <c r="V20" s="21"/>
      <c r="W20" s="17"/>
    </row>
    <row r="21" spans="1:23" ht="12" customHeight="1">
      <c r="A21" s="1">
        <v>2012</v>
      </c>
      <c r="B21" s="21"/>
      <c r="C21" s="21"/>
      <c r="D21" s="21"/>
      <c r="E21" s="21"/>
      <c r="F21" s="21">
        <v>1.0820000000000001</v>
      </c>
      <c r="G21" s="21">
        <v>1.056</v>
      </c>
      <c r="H21" s="21">
        <v>1.0389999999999999</v>
      </c>
      <c r="I21" s="21"/>
      <c r="J21" s="21"/>
      <c r="K21" s="21"/>
      <c r="L21" s="21"/>
      <c r="M21" s="21"/>
      <c r="N21" s="21"/>
      <c r="O21" s="21"/>
      <c r="P21" s="21"/>
      <c r="Q21" s="21"/>
      <c r="R21" s="21"/>
      <c r="S21" s="21"/>
      <c r="T21" s="21"/>
      <c r="U21" s="21"/>
      <c r="V21" s="21"/>
      <c r="W21" s="17"/>
    </row>
    <row r="22" spans="1:23" ht="12" customHeight="1">
      <c r="A22" s="1">
        <v>2013</v>
      </c>
      <c r="B22" s="21"/>
      <c r="C22" s="21"/>
      <c r="D22" s="21"/>
      <c r="E22" s="21">
        <v>1.119</v>
      </c>
      <c r="F22" s="21">
        <v>1.0740000000000001</v>
      </c>
      <c r="G22" s="21">
        <v>1.046</v>
      </c>
      <c r="H22" s="21"/>
      <c r="I22" s="21"/>
      <c r="J22" s="21"/>
      <c r="K22" s="21"/>
      <c r="L22" s="21"/>
      <c r="M22" s="21"/>
      <c r="N22" s="21"/>
      <c r="O22" s="21"/>
      <c r="P22" s="21"/>
      <c r="Q22" s="21"/>
      <c r="R22" s="21"/>
      <c r="S22" s="21"/>
      <c r="T22" s="21"/>
      <c r="U22" s="21"/>
      <c r="V22" s="21"/>
      <c r="W22" s="17"/>
    </row>
    <row r="23" spans="1:23" ht="12" customHeight="1">
      <c r="A23" s="1">
        <v>2014</v>
      </c>
      <c r="B23" s="21"/>
      <c r="C23" s="21"/>
      <c r="D23" s="21">
        <v>1.2030000000000001</v>
      </c>
      <c r="E23" s="21">
        <v>1.1120000000000001</v>
      </c>
      <c r="F23" s="21">
        <v>1.07</v>
      </c>
      <c r="G23" s="21"/>
      <c r="H23" s="21"/>
      <c r="I23" s="21"/>
      <c r="J23" s="21"/>
      <c r="K23" s="21"/>
      <c r="L23" s="21"/>
      <c r="M23" s="21"/>
      <c r="N23" s="21"/>
      <c r="O23" s="21"/>
      <c r="P23" s="21"/>
      <c r="Q23" s="21"/>
      <c r="R23" s="21"/>
      <c r="S23" s="21"/>
      <c r="T23" s="21"/>
      <c r="U23" s="21"/>
      <c r="V23" s="21"/>
      <c r="W23" s="17"/>
    </row>
    <row r="24" spans="1:23" ht="12" customHeight="1">
      <c r="A24" s="1">
        <v>2015</v>
      </c>
      <c r="B24" s="21"/>
      <c r="C24" s="21">
        <v>1.365</v>
      </c>
      <c r="D24" s="21">
        <v>1.19</v>
      </c>
      <c r="E24" s="21">
        <v>1.099</v>
      </c>
      <c r="F24" s="21"/>
      <c r="G24" s="21"/>
      <c r="H24" s="21"/>
      <c r="I24" s="21"/>
      <c r="J24" s="21"/>
      <c r="K24" s="21"/>
      <c r="L24" s="21"/>
      <c r="M24" s="21"/>
      <c r="N24" s="21"/>
      <c r="O24" s="21"/>
      <c r="P24" s="21"/>
      <c r="Q24" s="21"/>
      <c r="R24" s="21"/>
      <c r="S24" s="21"/>
      <c r="T24" s="21"/>
      <c r="U24" s="21"/>
      <c r="V24" s="21"/>
      <c r="W24" s="17"/>
    </row>
    <row r="25" spans="1:23" ht="12" customHeight="1">
      <c r="A25" s="1">
        <v>2016</v>
      </c>
      <c r="B25" s="21">
        <v>1.8819999999999999</v>
      </c>
      <c r="C25" s="21">
        <v>1.3440000000000001</v>
      </c>
      <c r="D25" s="21">
        <v>1.17</v>
      </c>
      <c r="E25" s="21"/>
      <c r="F25" s="21"/>
      <c r="G25" s="21"/>
      <c r="H25" s="21"/>
      <c r="I25" s="21"/>
      <c r="J25" s="21"/>
      <c r="K25" s="21"/>
      <c r="L25" s="21"/>
      <c r="M25" s="21"/>
      <c r="N25" s="21"/>
      <c r="O25" s="21"/>
      <c r="P25" s="21"/>
      <c r="Q25" s="21"/>
      <c r="R25" s="21"/>
      <c r="S25" s="21"/>
      <c r="T25" s="21"/>
      <c r="U25" s="21"/>
      <c r="V25" s="21"/>
      <c r="W25" s="17"/>
    </row>
    <row r="26" spans="1:23" ht="12" customHeight="1">
      <c r="A26" s="1">
        <v>2017</v>
      </c>
      <c r="B26" s="21">
        <v>1.8440000000000001</v>
      </c>
      <c r="C26" s="21">
        <v>1.321</v>
      </c>
      <c r="D26" s="21"/>
      <c r="E26" s="21"/>
      <c r="F26" s="21"/>
      <c r="G26" s="21"/>
      <c r="H26" s="21"/>
      <c r="I26" s="21"/>
      <c r="J26" s="21"/>
      <c r="K26" s="21"/>
      <c r="L26" s="21"/>
      <c r="M26" s="21"/>
      <c r="N26" s="21"/>
      <c r="O26" s="21"/>
      <c r="P26" s="21"/>
      <c r="Q26" s="21"/>
      <c r="R26" s="21"/>
      <c r="S26" s="21"/>
      <c r="T26" s="21"/>
      <c r="U26" s="21"/>
      <c r="V26" s="21"/>
      <c r="W26" s="17"/>
    </row>
    <row r="27" spans="1:23" s="167" customFormat="1" ht="12" customHeight="1">
      <c r="A27" s="1">
        <v>2018</v>
      </c>
      <c r="B27" s="21">
        <v>1.849</v>
      </c>
      <c r="C27" s="21"/>
      <c r="D27" s="21"/>
      <c r="E27" s="21"/>
      <c r="F27" s="21"/>
      <c r="G27" s="21"/>
      <c r="H27" s="21"/>
      <c r="I27" s="21"/>
      <c r="J27" s="21"/>
      <c r="K27" s="21"/>
      <c r="L27" s="21"/>
      <c r="M27" s="21"/>
      <c r="N27" s="21"/>
      <c r="O27" s="21"/>
      <c r="P27" s="21"/>
      <c r="Q27" s="21"/>
      <c r="R27" s="21"/>
      <c r="S27" s="21"/>
      <c r="T27" s="21"/>
      <c r="U27" s="21"/>
      <c r="V27" s="21"/>
      <c r="W27" s="17"/>
    </row>
    <row r="28" spans="1:23" s="137" customFormat="1" ht="12" customHeight="1">
      <c r="A28" s="1"/>
      <c r="B28" s="1"/>
      <c r="C28" s="16"/>
      <c r="D28" s="17"/>
      <c r="E28" s="17"/>
      <c r="F28" s="17"/>
      <c r="G28" s="17"/>
      <c r="H28" s="17"/>
      <c r="I28" s="17"/>
      <c r="J28" s="17"/>
      <c r="K28" s="17"/>
      <c r="L28" s="16"/>
      <c r="M28" s="17"/>
      <c r="N28" s="17"/>
      <c r="O28" s="17"/>
      <c r="P28" s="17"/>
      <c r="Q28" s="17"/>
      <c r="R28" s="17"/>
      <c r="S28" s="17"/>
      <c r="T28" s="17"/>
      <c r="U28" s="17"/>
      <c r="V28" s="17"/>
      <c r="W28" s="17"/>
    </row>
    <row r="29" spans="1:23" ht="12" customHeight="1">
      <c r="A29" s="1" t="s">
        <v>36</v>
      </c>
      <c r="B29" s="16" t="str">
        <f>TEXT(INDEX($B$47:$F$47,MATCH(B$4,$B$48:$F$48,0)),"0.000")&amp;"(d)"</f>
        <v>1.849(d)</v>
      </c>
      <c r="C29" s="16" t="str">
        <f>TEXT(INDEX($B$47:$F$47,MATCH(C$4,$B$48:$F$48,0)),"0.000")&amp;"(d)"</f>
        <v>1.321(d)</v>
      </c>
      <c r="D29" s="16" t="str">
        <f>TEXT(INDEX($B$47:$F$47,MATCH(D$4,$B$48:$F$48,0)),"0.000")&amp;"(d)"</f>
        <v>1.161(d)</v>
      </c>
      <c r="E29" s="16" t="str">
        <f>TEXT(INDEX($B$47:$F$47,MATCH(E$4,$B$48:$F$48,0)),"0.000")&amp;"(d)"</f>
        <v>1.090(d)</v>
      </c>
      <c r="F29" s="16" t="str">
        <f>TEXT(INDEX($B$47:$F$47,MATCH(F$4,$B$48:$F$48,0)),"0.000")&amp;"(d)"</f>
        <v>1.059(d)</v>
      </c>
      <c r="G29" s="431">
        <f>+ROUND(G22,3)</f>
        <v>1.046</v>
      </c>
      <c r="H29" s="431">
        <f>+ROUND(H21,3)</f>
        <v>1.0389999999999999</v>
      </c>
      <c r="I29" s="431">
        <f>+ROUND(I20,3)</f>
        <v>1.0289999999999999</v>
      </c>
      <c r="J29" s="431">
        <f>AVERAGE(J17:J19)</f>
        <v>1.026</v>
      </c>
      <c r="K29" s="431">
        <f>AVERAGE(K16:K18)</f>
        <v>1.0203333333333333</v>
      </c>
      <c r="L29" s="431">
        <f>AVERAGE(L15:L17)</f>
        <v>1.0193333333333332</v>
      </c>
      <c r="M29" s="431">
        <f>AVERAGE(M14:M16)</f>
        <v>1.0173333333333334</v>
      </c>
      <c r="N29" s="431">
        <f>AVERAGE(N13:N15)</f>
        <v>1.0146666666666666</v>
      </c>
      <c r="O29" s="431">
        <f>AVERAGE(O12:O14)</f>
        <v>1.0136666666666665</v>
      </c>
      <c r="P29" s="431">
        <f>AVERAGE(P11:P13)</f>
        <v>1.0123333333333333</v>
      </c>
      <c r="Q29" s="431">
        <f>AVERAGE(Q10:Q12)</f>
        <v>1.0113333333333332</v>
      </c>
      <c r="R29" s="431">
        <f>AVERAGE(R9:R11)</f>
        <v>1.0096666666666667</v>
      </c>
      <c r="S29" s="431">
        <f>AVERAGE(S8:S10)</f>
        <v>1.0093333333333332</v>
      </c>
      <c r="T29" s="431">
        <f>AVERAGE(T7:T9)</f>
        <v>1.0083333333333331</v>
      </c>
      <c r="U29" s="431">
        <f>AVERAGE(U6:U8)</f>
        <v>1.0086666666666666</v>
      </c>
      <c r="V29" s="431">
        <f>AVERAGE(V5:V7)</f>
        <v>1.0083333333333333</v>
      </c>
      <c r="W29" s="17"/>
    </row>
    <row r="30" spans="1:23" s="254" customFormat="1" ht="12" customHeight="1">
      <c r="A30" s="1"/>
      <c r="B30" s="16"/>
      <c r="C30" s="16"/>
      <c r="D30" s="16"/>
      <c r="E30" s="16"/>
      <c r="F30" s="16"/>
      <c r="G30" s="16"/>
      <c r="H30" s="16"/>
      <c r="I30" s="16"/>
      <c r="J30" s="16"/>
      <c r="K30" s="16"/>
      <c r="L30" s="16"/>
      <c r="M30" s="16"/>
      <c r="N30" s="16"/>
      <c r="O30" s="16"/>
      <c r="P30" s="16"/>
      <c r="Q30" s="16"/>
      <c r="R30" s="16"/>
      <c r="S30" s="16"/>
      <c r="T30" s="16"/>
      <c r="U30" s="16"/>
      <c r="V30" s="16"/>
      <c r="W30" s="17"/>
    </row>
    <row r="31" spans="1:23" s="254" customFormat="1" ht="12" customHeight="1">
      <c r="A31" s="22" t="s">
        <v>335</v>
      </c>
      <c r="B31" s="16"/>
      <c r="C31" s="16"/>
      <c r="D31" s="16"/>
      <c r="E31" s="16"/>
      <c r="F31" s="16"/>
      <c r="G31" s="16"/>
      <c r="H31" s="16"/>
      <c r="I31" s="16"/>
      <c r="J31" s="16"/>
      <c r="K31" s="16"/>
      <c r="L31" s="16"/>
      <c r="M31" s="16"/>
      <c r="N31" s="16"/>
      <c r="O31" s="16"/>
      <c r="P31" s="16"/>
      <c r="Q31" s="16"/>
      <c r="R31" s="16"/>
      <c r="S31" s="16"/>
      <c r="T31" s="16"/>
      <c r="U31" s="16"/>
      <c r="V31" s="16"/>
      <c r="W31" s="17"/>
    </row>
    <row r="32" spans="1:23" s="254" customFormat="1" ht="12" customHeight="1">
      <c r="A32" s="22" t="s">
        <v>334</v>
      </c>
      <c r="B32" s="431">
        <f>B47*C32</f>
        <v>4.7822554022416668</v>
      </c>
      <c r="C32" s="431">
        <f>C47*D32</f>
        <v>2.5864720958248353</v>
      </c>
      <c r="D32" s="431">
        <f>D47*E32</f>
        <v>1.9579286179565549</v>
      </c>
      <c r="E32" s="431">
        <f>E47*F32</f>
        <v>1.6864747139112912</v>
      </c>
      <c r="F32" s="431">
        <f>F47*G32</f>
        <v>1.5475873476160062</v>
      </c>
      <c r="G32" s="431">
        <f t="shared" ref="G32:S32" si="0">G29*H32</f>
        <v>1.4613888096225403</v>
      </c>
      <c r="H32" s="431">
        <f t="shared" si="0"/>
        <v>1.3971212329087381</v>
      </c>
      <c r="I32" s="431">
        <f t="shared" si="0"/>
        <v>1.3446787612211148</v>
      </c>
      <c r="J32" s="431">
        <f t="shared" si="0"/>
        <v>1.3067820808757191</v>
      </c>
      <c r="K32" s="431">
        <f t="shared" si="0"/>
        <v>1.2736667454929036</v>
      </c>
      <c r="L32" s="431">
        <f t="shared" si="0"/>
        <v>1.2482849514794874</v>
      </c>
      <c r="M32" s="431">
        <f t="shared" si="0"/>
        <v>1.2246091741132972</v>
      </c>
      <c r="N32" s="431">
        <f t="shared" si="0"/>
        <v>1.2037442733748005</v>
      </c>
      <c r="O32" s="431">
        <f t="shared" si="0"/>
        <v>1.1863445532603158</v>
      </c>
      <c r="P32" s="431">
        <f t="shared" si="0"/>
        <v>1.1703497730289207</v>
      </c>
      <c r="Q32" s="431">
        <f t="shared" si="0"/>
        <v>1.1560913134958057</v>
      </c>
      <c r="R32" s="431">
        <f t="shared" si="0"/>
        <v>1.1431357747156947</v>
      </c>
      <c r="S32" s="431">
        <f t="shared" si="0"/>
        <v>1.1321912592099981</v>
      </c>
      <c r="T32" s="431">
        <f>T29*U32</f>
        <v>1.1217218552278714</v>
      </c>
      <c r="U32" s="431">
        <f>U29*V32</f>
        <v>1.1124514266722694</v>
      </c>
      <c r="V32" s="16">
        <f>'Exhibit 2.6.2'!B25*'Exhibit 2.6.1'!V29</f>
        <v>1.1028930204946492</v>
      </c>
      <c r="W32" s="17"/>
    </row>
    <row r="33" spans="1:23" s="254" customFormat="1" ht="12" customHeight="1">
      <c r="A33" s="17"/>
      <c r="B33" s="16"/>
      <c r="C33" s="16"/>
      <c r="D33" s="16"/>
      <c r="E33" s="16"/>
      <c r="F33" s="16"/>
      <c r="G33" s="16"/>
      <c r="H33" s="16"/>
      <c r="I33" s="16"/>
      <c r="J33" s="16"/>
      <c r="K33" s="16"/>
      <c r="L33" s="16"/>
      <c r="M33" s="16"/>
      <c r="N33" s="16"/>
      <c r="O33" s="16"/>
      <c r="P33" s="16"/>
      <c r="Q33" s="16"/>
      <c r="R33" s="16"/>
      <c r="S33" s="16"/>
      <c r="T33" s="16"/>
      <c r="U33" s="16"/>
      <c r="V33" s="16"/>
      <c r="W33" s="17"/>
    </row>
    <row r="34" spans="1:23" s="254" customFormat="1" ht="12" customHeight="1">
      <c r="A34" s="22" t="s">
        <v>333</v>
      </c>
      <c r="B34" s="16"/>
      <c r="C34" s="16"/>
      <c r="D34" s="16"/>
      <c r="E34" s="16"/>
      <c r="F34" s="16"/>
      <c r="G34" s="16"/>
      <c r="H34" s="16"/>
      <c r="I34" s="16"/>
      <c r="J34" s="16"/>
      <c r="K34" s="16"/>
      <c r="L34" s="16"/>
      <c r="M34" s="16"/>
      <c r="N34" s="16"/>
      <c r="O34" s="16"/>
      <c r="P34" s="16"/>
      <c r="Q34" s="16"/>
      <c r="R34" s="16"/>
      <c r="S34" s="16"/>
      <c r="T34" s="16"/>
      <c r="U34" s="16"/>
      <c r="V34" s="16"/>
      <c r="W34" s="17"/>
    </row>
    <row r="35" spans="1:23" ht="14.45" customHeight="1">
      <c r="A35" s="22" t="s">
        <v>412</v>
      </c>
      <c r="B35" s="431">
        <f>B32*C52</f>
        <v>4.6055951347493789</v>
      </c>
      <c r="C35" s="431">
        <f>C32*C53</f>
        <v>2.4909257868394201</v>
      </c>
      <c r="D35" s="431">
        <f>D32*C54</f>
        <v>1.8856011983007841</v>
      </c>
      <c r="E35" s="431">
        <f>E32*C55</f>
        <v>1.6448261579893189</v>
      </c>
      <c r="F35" s="431">
        <f>C56*F32</f>
        <v>1.5245467757971463</v>
      </c>
      <c r="G35" s="431">
        <f>G32*C57</f>
        <v>1.4510621267245842</v>
      </c>
      <c r="H35" s="335" t="s">
        <v>32</v>
      </c>
      <c r="I35" s="335" t="s">
        <v>32</v>
      </c>
      <c r="J35" s="335" t="s">
        <v>32</v>
      </c>
      <c r="K35" s="335" t="s">
        <v>32</v>
      </c>
      <c r="L35" s="335" t="s">
        <v>32</v>
      </c>
      <c r="M35" s="335" t="s">
        <v>32</v>
      </c>
      <c r="N35" s="335" t="s">
        <v>32</v>
      </c>
      <c r="O35" s="335" t="s">
        <v>32</v>
      </c>
      <c r="P35" s="335" t="s">
        <v>32</v>
      </c>
      <c r="Q35" s="335" t="s">
        <v>32</v>
      </c>
      <c r="R35" s="335" t="s">
        <v>32</v>
      </c>
      <c r="S35" s="335" t="s">
        <v>32</v>
      </c>
      <c r="T35" s="335" t="s">
        <v>32</v>
      </c>
      <c r="U35" s="335" t="s">
        <v>32</v>
      </c>
      <c r="V35" s="335" t="s">
        <v>32</v>
      </c>
      <c r="W35" s="17"/>
    </row>
    <row r="36" spans="1:23" ht="4.9000000000000004" customHeight="1">
      <c r="A36" s="22"/>
      <c r="B36" s="22"/>
      <c r="C36" s="16"/>
      <c r="D36" s="16"/>
      <c r="E36" s="16"/>
      <c r="F36" s="16"/>
      <c r="G36" s="16"/>
      <c r="H36" s="16"/>
      <c r="I36" s="16"/>
      <c r="J36" s="16"/>
      <c r="K36" s="16"/>
      <c r="L36" s="16"/>
      <c r="M36" s="16"/>
      <c r="N36" s="16"/>
      <c r="O36" s="16"/>
      <c r="P36" s="16"/>
      <c r="Q36" s="16"/>
      <c r="R36" s="16"/>
      <c r="S36" s="16"/>
      <c r="T36" s="17"/>
      <c r="U36" s="17"/>
      <c r="V36" s="17"/>
      <c r="W36" s="17"/>
    </row>
    <row r="37" spans="1:23" ht="6" customHeight="1">
      <c r="A37" s="22"/>
      <c r="B37" s="22"/>
      <c r="C37" s="16"/>
      <c r="D37" s="16"/>
      <c r="E37" s="16"/>
      <c r="F37" s="16"/>
      <c r="G37" s="16"/>
      <c r="H37" s="16"/>
      <c r="I37" s="16"/>
      <c r="J37" s="16"/>
      <c r="K37" s="16"/>
      <c r="L37" s="16"/>
      <c r="M37" s="16"/>
      <c r="N37" s="16"/>
      <c r="O37" s="16"/>
      <c r="P37" s="16"/>
      <c r="Q37" s="16"/>
      <c r="R37" s="16"/>
      <c r="S37" s="16"/>
      <c r="T37" s="17"/>
      <c r="U37" s="17"/>
      <c r="V37" s="17"/>
      <c r="W37" s="17"/>
    </row>
    <row r="38" spans="1:23" ht="6" customHeight="1">
      <c r="A38" s="22"/>
      <c r="B38" s="22"/>
      <c r="C38" s="16"/>
      <c r="D38" s="16"/>
      <c r="E38" s="16"/>
      <c r="F38" s="16"/>
      <c r="G38" s="16"/>
      <c r="H38" s="16"/>
      <c r="I38" s="16"/>
      <c r="J38" s="16"/>
      <c r="K38" s="16"/>
      <c r="L38" s="16"/>
      <c r="M38" s="16"/>
      <c r="N38" s="16"/>
      <c r="O38" s="16"/>
      <c r="P38" s="16"/>
      <c r="Q38" s="17"/>
      <c r="R38" s="17"/>
      <c r="S38" s="17"/>
      <c r="T38" s="17"/>
      <c r="U38" s="17"/>
      <c r="V38" s="17"/>
      <c r="W38" s="17"/>
    </row>
    <row r="39" spans="1:23">
      <c r="A39" s="24" t="s">
        <v>37</v>
      </c>
      <c r="B39" s="542" t="s">
        <v>304</v>
      </c>
      <c r="C39" s="542"/>
      <c r="D39" s="542"/>
      <c r="E39" s="542"/>
      <c r="F39" s="542"/>
      <c r="G39" s="542"/>
      <c r="H39" s="542"/>
      <c r="I39" s="542"/>
      <c r="J39" s="542"/>
      <c r="K39" s="542"/>
      <c r="L39" s="542"/>
      <c r="M39" s="542"/>
      <c r="N39" s="542"/>
      <c r="O39" s="542"/>
      <c r="P39" s="542"/>
      <c r="Q39" s="542"/>
      <c r="R39" s="542"/>
      <c r="S39" s="542"/>
      <c r="T39" s="17"/>
      <c r="U39" s="17"/>
      <c r="V39" s="17"/>
      <c r="W39" s="17"/>
    </row>
    <row r="40" spans="1:23" ht="26.1" customHeight="1">
      <c r="A40" s="24" t="s">
        <v>25</v>
      </c>
      <c r="B40" s="539" t="s">
        <v>353</v>
      </c>
      <c r="C40" s="539"/>
      <c r="D40" s="539"/>
      <c r="E40" s="539"/>
      <c r="F40" s="539"/>
      <c r="G40" s="539"/>
      <c r="H40" s="539"/>
      <c r="I40" s="539"/>
      <c r="J40" s="539"/>
      <c r="K40" s="539"/>
      <c r="L40" s="539"/>
      <c r="M40" s="539"/>
      <c r="N40" s="539"/>
      <c r="O40" s="539"/>
      <c r="P40" s="539"/>
      <c r="Q40" s="539"/>
      <c r="R40" s="539"/>
      <c r="S40" s="539"/>
      <c r="T40" s="539"/>
      <c r="U40" s="539"/>
      <c r="V40" s="539"/>
      <c r="W40" s="17"/>
    </row>
    <row r="41" spans="1:23" ht="12.75" customHeight="1">
      <c r="A41" s="24" t="s">
        <v>26</v>
      </c>
      <c r="B41" s="539" t="s">
        <v>546</v>
      </c>
      <c r="C41" s="539"/>
      <c r="D41" s="539"/>
      <c r="E41" s="539"/>
      <c r="F41" s="539"/>
      <c r="G41" s="539"/>
      <c r="H41" s="539"/>
      <c r="I41" s="539"/>
      <c r="J41" s="539"/>
      <c r="K41" s="539"/>
      <c r="L41" s="539"/>
      <c r="M41" s="539"/>
      <c r="N41" s="539"/>
      <c r="O41" s="539"/>
      <c r="P41" s="539"/>
      <c r="Q41" s="539"/>
      <c r="R41" s="539"/>
      <c r="S41" s="539"/>
      <c r="T41" s="539"/>
      <c r="U41" s="539"/>
      <c r="V41" s="539"/>
      <c r="W41" s="17"/>
    </row>
    <row r="42" spans="1:23" ht="12.75" customHeight="1">
      <c r="A42" s="24" t="s">
        <v>30</v>
      </c>
      <c r="B42" s="539" t="s">
        <v>332</v>
      </c>
      <c r="C42" s="539"/>
      <c r="D42" s="539"/>
      <c r="E42" s="539"/>
      <c r="F42" s="539"/>
      <c r="G42" s="539"/>
      <c r="H42" s="539"/>
      <c r="I42" s="539"/>
      <c r="J42" s="539"/>
      <c r="K42" s="539"/>
      <c r="L42" s="539"/>
      <c r="M42" s="539"/>
      <c r="N42" s="539"/>
      <c r="O42" s="539"/>
      <c r="P42" s="539"/>
      <c r="Q42" s="539"/>
      <c r="R42" s="539"/>
      <c r="S42" s="539"/>
      <c r="T42" s="539"/>
      <c r="U42" s="539"/>
      <c r="V42" s="539"/>
      <c r="W42" s="17"/>
    </row>
    <row r="43" spans="1:23" s="352" customFormat="1" ht="12.75" customHeight="1">
      <c r="A43" s="24"/>
      <c r="B43" s="539"/>
      <c r="C43" s="539"/>
      <c r="D43" s="539"/>
      <c r="E43" s="539"/>
      <c r="F43" s="539"/>
      <c r="G43" s="539"/>
      <c r="H43" s="539"/>
      <c r="I43" s="539"/>
      <c r="J43" s="539"/>
      <c r="K43" s="539"/>
      <c r="L43" s="539"/>
      <c r="M43" s="539"/>
      <c r="N43" s="539"/>
      <c r="O43" s="539"/>
      <c r="P43" s="539"/>
      <c r="Q43" s="539"/>
      <c r="R43" s="539"/>
      <c r="S43" s="539"/>
      <c r="T43" s="539"/>
      <c r="U43" s="539"/>
      <c r="V43" s="539"/>
      <c r="W43" s="409"/>
    </row>
    <row r="44" spans="1:23" s="140" customFormat="1" ht="12.75" customHeight="1">
      <c r="A44" s="24" t="s">
        <v>39</v>
      </c>
      <c r="B44" s="160" t="s">
        <v>547</v>
      </c>
      <c r="C44" s="160"/>
      <c r="D44" s="160"/>
      <c r="E44" s="160"/>
      <c r="F44" s="160"/>
      <c r="G44" s="160"/>
      <c r="H44" s="160"/>
      <c r="I44" s="160"/>
      <c r="J44" s="160"/>
      <c r="K44" s="160"/>
      <c r="L44" s="160"/>
      <c r="M44" s="160"/>
      <c r="N44" s="160"/>
      <c r="O44" s="160"/>
      <c r="P44" s="160"/>
      <c r="Q44" s="160"/>
      <c r="R44" s="160"/>
      <c r="S44" s="160"/>
      <c r="T44" s="160"/>
      <c r="U44" s="160"/>
      <c r="V44" s="160"/>
      <c r="W44" s="17"/>
    </row>
    <row r="45" spans="1:23" ht="12.75" customHeight="1">
      <c r="A45" s="386"/>
      <c r="B45" s="16"/>
      <c r="C45" s="16"/>
      <c r="D45" s="16"/>
      <c r="E45" s="16"/>
      <c r="F45" s="16"/>
      <c r="G45" s="16"/>
      <c r="H45" s="17"/>
      <c r="I45" s="17"/>
      <c r="J45" s="17"/>
      <c r="K45" s="17"/>
      <c r="L45" s="17"/>
      <c r="M45" s="17"/>
      <c r="N45" s="17"/>
      <c r="O45" s="17"/>
      <c r="P45" s="17"/>
      <c r="Q45" s="17"/>
      <c r="R45" s="17"/>
      <c r="S45" s="17"/>
      <c r="T45" s="17"/>
      <c r="U45" s="17"/>
      <c r="V45" s="17"/>
      <c r="W45" s="17"/>
    </row>
    <row r="46" spans="1:23">
      <c r="A46" s="44"/>
      <c r="B46" s="16" t="str">
        <f>'Exhibits 2.6.3 - 2.6.8'!D$313</f>
        <v>15-27</v>
      </c>
      <c r="C46" s="16" t="str">
        <f>'Exhibits 2.6.3 - 2.6.8'!E$313</f>
        <v>27-39</v>
      </c>
      <c r="D46" s="16" t="str">
        <f>'Exhibits 2.6.3 - 2.6.8'!F$313</f>
        <v>39-51</v>
      </c>
      <c r="E46" s="16" t="str">
        <f>'Exhibits 2.6.3 - 2.6.8'!G$313</f>
        <v>51-63</v>
      </c>
      <c r="F46" s="16" t="str">
        <f>'Exhibits 2.6.3 - 2.6.8'!H$313</f>
        <v>63-75</v>
      </c>
      <c r="H46" s="17"/>
      <c r="I46" s="17"/>
      <c r="J46" s="17"/>
      <c r="K46" s="17"/>
      <c r="L46" s="17"/>
      <c r="M46" s="17"/>
      <c r="N46" s="17"/>
      <c r="O46" s="17"/>
      <c r="P46" s="17"/>
      <c r="Q46" s="17"/>
      <c r="R46" s="17"/>
      <c r="S46" s="17"/>
      <c r="T46" s="17"/>
      <c r="U46" s="17"/>
      <c r="V46" s="17"/>
      <c r="W46" s="17"/>
    </row>
    <row r="47" spans="1:23">
      <c r="A47" s="387" t="str">
        <f>'Exhibits 2.5.3 - 2.5.8'!C$316</f>
        <v>Latest Year</v>
      </c>
      <c r="B47" s="16">
        <f>'Exhibits 2.6.3 - 2.6.8'!D$323</f>
        <v>1.8489491574107193</v>
      </c>
      <c r="C47" s="16">
        <f>'Exhibits 2.6.3 - 2.6.8'!E$323</f>
        <v>1.3210247156631669</v>
      </c>
      <c r="D47" s="16">
        <f>'Exhibits 2.6.3 - 2.6.8'!F$323</f>
        <v>1.1609593679680525</v>
      </c>
      <c r="E47" s="16">
        <f>'Exhibits 2.6.3 - 2.6.8'!G$323</f>
        <v>1.0897444441564059</v>
      </c>
      <c r="F47" s="16">
        <f>'Exhibits 2.6.3 - 2.6.8'!H$323</f>
        <v>1.0589839866200494</v>
      </c>
      <c r="H47" s="17"/>
      <c r="I47" s="17"/>
      <c r="J47" s="17"/>
      <c r="K47" s="17"/>
      <c r="L47" s="17"/>
      <c r="M47" s="17"/>
      <c r="N47" s="17"/>
      <c r="O47" s="17"/>
      <c r="P47" s="17"/>
      <c r="Q47" s="17"/>
      <c r="R47" s="17"/>
      <c r="S47" s="17"/>
      <c r="T47" s="17"/>
      <c r="U47" s="17"/>
      <c r="V47" s="17"/>
      <c r="W47" s="17"/>
    </row>
    <row r="48" spans="1:23">
      <c r="A48" s="44"/>
      <c r="B48" s="44" t="str">
        <f>RIGHT(B46,2)&amp;"/"&amp;LEFT(B46,FIND("-",B46)-1)</f>
        <v>27/15</v>
      </c>
      <c r="C48" s="44" t="str">
        <f>RIGHT(C46,2)&amp;"/"&amp;LEFT(C46,FIND("-",C46)-1)</f>
        <v>39/27</v>
      </c>
      <c r="D48" s="44" t="str">
        <f>RIGHT(D46,2)&amp;"/"&amp;LEFT(D46,FIND("-",D46)-1)</f>
        <v>51/39</v>
      </c>
      <c r="E48" s="44" t="str">
        <f>RIGHT(E46,2)&amp;"/"&amp;LEFT(E46,FIND("-",E46)-1)</f>
        <v>63/51</v>
      </c>
      <c r="F48" s="44" t="str">
        <f>RIGHT(F46,2)&amp;"/"&amp;LEFT(F46,FIND("-",F46)-1)</f>
        <v>75/63</v>
      </c>
      <c r="H48" s="17"/>
      <c r="I48" s="17"/>
      <c r="J48" s="17"/>
      <c r="K48" s="17"/>
      <c r="L48" s="17"/>
      <c r="M48" s="17"/>
      <c r="N48" s="17"/>
      <c r="O48" s="17"/>
      <c r="P48" s="17"/>
      <c r="Q48" s="17"/>
      <c r="R48" s="17"/>
      <c r="S48" s="17"/>
      <c r="T48" s="17"/>
      <c r="U48" s="17"/>
      <c r="V48" s="17"/>
      <c r="W48" s="17"/>
    </row>
    <row r="49" spans="1:23">
      <c r="A49" s="399" t="s">
        <v>548</v>
      </c>
      <c r="B49" s="399"/>
      <c r="C49" s="399"/>
      <c r="D49" s="388"/>
      <c r="E49" s="388"/>
      <c r="F49" s="388"/>
      <c r="G49" s="388"/>
      <c r="H49" s="17"/>
      <c r="I49" s="17"/>
      <c r="J49" s="17"/>
      <c r="K49" s="17"/>
      <c r="L49" s="17"/>
      <c r="M49" s="17"/>
      <c r="N49" s="17"/>
      <c r="O49" s="17"/>
      <c r="P49" s="17"/>
      <c r="Q49" s="17"/>
      <c r="R49" s="17"/>
      <c r="S49" s="17"/>
      <c r="T49" s="17"/>
      <c r="U49" s="17"/>
      <c r="V49" s="17"/>
      <c r="W49" s="17"/>
    </row>
    <row r="50" spans="1:23">
      <c r="A50" s="494"/>
      <c r="B50" s="131" t="s">
        <v>549</v>
      </c>
      <c r="C50" s="495"/>
    </row>
    <row r="51" spans="1:23">
      <c r="A51" s="501" t="s">
        <v>186</v>
      </c>
      <c r="B51" s="111" t="s">
        <v>257</v>
      </c>
      <c r="C51" s="502" t="s">
        <v>256</v>
      </c>
    </row>
    <row r="52" spans="1:23">
      <c r="A52" s="503">
        <v>2019</v>
      </c>
      <c r="B52" s="504">
        <v>-3.6940784762243939E-2</v>
      </c>
      <c r="C52" s="505">
        <f>1+B52</f>
        <v>0.96305921523775606</v>
      </c>
    </row>
    <row r="53" spans="1:23">
      <c r="A53" s="496">
        <f>A52-1</f>
        <v>2018</v>
      </c>
      <c r="B53" s="241">
        <v>-3.6940784762243939E-2</v>
      </c>
      <c r="C53" s="497">
        <f t="shared" ref="C53:C57" si="1">1+B53</f>
        <v>0.96305921523775606</v>
      </c>
    </row>
    <row r="54" spans="1:23">
      <c r="A54" s="496">
        <f t="shared" ref="A54:A57" si="2">A53-1</f>
        <v>2017</v>
      </c>
      <c r="B54" s="241">
        <v>-3.6940784762243939E-2</v>
      </c>
      <c r="C54" s="497">
        <f t="shared" si="1"/>
        <v>0.96305921523775606</v>
      </c>
    </row>
    <row r="55" spans="1:23">
      <c r="A55" s="496">
        <f t="shared" si="2"/>
        <v>2016</v>
      </c>
      <c r="B55" s="241">
        <v>-2.4695630227019927E-2</v>
      </c>
      <c r="C55" s="497">
        <f t="shared" si="1"/>
        <v>0.97530436977298007</v>
      </c>
    </row>
    <row r="56" spans="1:23">
      <c r="A56" s="496">
        <f t="shared" si="2"/>
        <v>2015</v>
      </c>
      <c r="B56" s="241">
        <v>-1.4888059051628377E-2</v>
      </c>
      <c r="C56" s="497">
        <f t="shared" si="1"/>
        <v>0.98511194094837162</v>
      </c>
    </row>
    <row r="57" spans="1:23">
      <c r="A57" s="498">
        <f t="shared" si="2"/>
        <v>2014</v>
      </c>
      <c r="B57" s="499">
        <v>-7.0663486882887039E-3</v>
      </c>
      <c r="C57" s="500">
        <f t="shared" si="1"/>
        <v>0.9929336513117113</v>
      </c>
    </row>
  </sheetData>
  <mergeCells count="6">
    <mergeCell ref="B41:V41"/>
    <mergeCell ref="B42:V43"/>
    <mergeCell ref="A1:V1"/>
    <mergeCell ref="B3:V3"/>
    <mergeCell ref="B39:S39"/>
    <mergeCell ref="B40:V40"/>
  </mergeCells>
  <printOptions horizontalCentered="1"/>
  <pageMargins left="0.25" right="0.25" top="0.75" bottom="0.75" header="0.3" footer="0.3"/>
  <pageSetup scale="72" orientation="landscape" blackAndWhite="1"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9"/>
  <sheetViews>
    <sheetView zoomScaleNormal="100" workbookViewId="0"/>
  </sheetViews>
  <sheetFormatPr defaultColWidth="9.1328125" defaultRowHeight="12.75"/>
  <cols>
    <col min="1" max="1" width="13.59765625" style="178" bestFit="1" customWidth="1"/>
    <col min="2" max="14" width="8.265625" style="178" customWidth="1"/>
    <col min="15" max="15" width="14.3984375" style="178" bestFit="1" customWidth="1"/>
    <col min="16" max="16384" width="9.1328125" style="178"/>
  </cols>
  <sheetData>
    <row r="1" spans="1:15" ht="13.15">
      <c r="A1" s="383" t="str">
        <f>+'Exhibit 2.6.1'!A1&amp;" (Continued)"</f>
        <v>Selected Medical Development Factors - Paid to Ultimate (Continued)</v>
      </c>
      <c r="B1" s="383"/>
      <c r="C1" s="383"/>
      <c r="D1" s="383"/>
      <c r="E1" s="383"/>
      <c r="F1" s="383"/>
      <c r="G1" s="383"/>
      <c r="H1" s="383"/>
      <c r="I1" s="383"/>
      <c r="J1" s="383"/>
      <c r="K1" s="383"/>
      <c r="L1" s="383"/>
      <c r="M1" s="383"/>
      <c r="N1" s="383"/>
      <c r="O1" s="383"/>
    </row>
    <row r="2" spans="1:15" ht="13.15">
      <c r="A2" s="17"/>
      <c r="B2" s="384"/>
      <c r="C2" s="384"/>
      <c r="D2" s="384"/>
      <c r="E2" s="384"/>
      <c r="F2" s="384"/>
      <c r="G2" s="384"/>
      <c r="H2" s="384"/>
      <c r="I2" s="384"/>
      <c r="J2" s="384"/>
      <c r="K2" s="384"/>
      <c r="L2" s="16"/>
      <c r="M2" s="384"/>
      <c r="N2" s="384"/>
      <c r="O2" s="384"/>
    </row>
    <row r="3" spans="1:15">
      <c r="A3" s="17"/>
      <c r="B3" s="280" t="s">
        <v>18</v>
      </c>
      <c r="C3" s="280"/>
      <c r="D3" s="280"/>
      <c r="E3" s="280"/>
      <c r="F3" s="280"/>
      <c r="G3" s="280"/>
      <c r="H3" s="280"/>
      <c r="I3" s="280"/>
      <c r="J3" s="280"/>
      <c r="K3" s="280"/>
      <c r="L3" s="280"/>
      <c r="M3" s="280"/>
      <c r="N3" s="280"/>
      <c r="O3" s="280"/>
    </row>
    <row r="4" spans="1:15">
      <c r="A4" s="19" t="s">
        <v>19</v>
      </c>
      <c r="B4" s="19" t="s">
        <v>491</v>
      </c>
      <c r="C4" s="19" t="s">
        <v>492</v>
      </c>
      <c r="D4" s="19" t="s">
        <v>493</v>
      </c>
      <c r="E4" s="19" t="s">
        <v>494</v>
      </c>
      <c r="F4" s="19" t="s">
        <v>495</v>
      </c>
      <c r="G4" s="19" t="s">
        <v>496</v>
      </c>
      <c r="H4" s="19" t="s">
        <v>497</v>
      </c>
      <c r="I4" s="19" t="s">
        <v>498</v>
      </c>
      <c r="J4" s="19" t="s">
        <v>499</v>
      </c>
      <c r="K4" s="19" t="s">
        <v>500</v>
      </c>
      <c r="L4" s="19" t="s">
        <v>501</v>
      </c>
      <c r="M4" s="19" t="s">
        <v>502</v>
      </c>
      <c r="N4" s="19" t="s">
        <v>503</v>
      </c>
      <c r="O4" s="19" t="s">
        <v>510</v>
      </c>
    </row>
    <row r="5" spans="1:15">
      <c r="A5" s="1">
        <v>1983</v>
      </c>
      <c r="B5" s="21"/>
      <c r="C5" s="21"/>
      <c r="D5" s="21"/>
      <c r="E5" s="21"/>
      <c r="F5" s="21"/>
      <c r="G5" s="21"/>
      <c r="H5" s="21"/>
      <c r="I5" s="21"/>
      <c r="J5" s="21"/>
      <c r="K5" s="21"/>
      <c r="L5" s="21"/>
      <c r="M5" s="21"/>
      <c r="N5" s="21">
        <v>1.0029999999999999</v>
      </c>
      <c r="O5" s="16"/>
    </row>
    <row r="6" spans="1:15" s="326" customFormat="1">
      <c r="A6" s="1">
        <v>1984</v>
      </c>
      <c r="B6" s="21"/>
      <c r="C6" s="21"/>
      <c r="D6" s="21"/>
      <c r="E6" s="21"/>
      <c r="F6" s="21"/>
      <c r="G6" s="21"/>
      <c r="H6" s="21"/>
      <c r="I6" s="21"/>
      <c r="J6" s="21"/>
      <c r="K6" s="21"/>
      <c r="L6" s="21"/>
      <c r="M6" s="21">
        <v>1.0009999999999999</v>
      </c>
      <c r="N6" s="21">
        <v>1.002</v>
      </c>
      <c r="O6" s="16"/>
    </row>
    <row r="7" spans="1:15">
      <c r="A7" s="1">
        <v>1985</v>
      </c>
      <c r="B7" s="21"/>
      <c r="C7" s="21"/>
      <c r="D7" s="21"/>
      <c r="E7" s="21"/>
      <c r="F7" s="21"/>
      <c r="G7" s="21"/>
      <c r="H7" s="21"/>
      <c r="I7" s="21"/>
      <c r="J7" s="21"/>
      <c r="K7" s="21"/>
      <c r="L7" s="21">
        <v>1.002</v>
      </c>
      <c r="M7" s="21">
        <v>1.002</v>
      </c>
      <c r="N7" s="21">
        <v>1.002</v>
      </c>
      <c r="O7" s="16"/>
    </row>
    <row r="8" spans="1:15">
      <c r="A8" s="1">
        <v>1986</v>
      </c>
      <c r="B8" s="21"/>
      <c r="C8" s="21"/>
      <c r="D8" s="21"/>
      <c r="E8" s="21"/>
      <c r="F8" s="21"/>
      <c r="G8" s="21"/>
      <c r="H8" s="21"/>
      <c r="I8" s="21"/>
      <c r="J8" s="21"/>
      <c r="K8" s="21">
        <v>1.0049999999999999</v>
      </c>
      <c r="L8" s="21">
        <v>1.004</v>
      </c>
      <c r="M8" s="21">
        <v>1.0029999999999999</v>
      </c>
      <c r="N8" s="21" t="s">
        <v>34</v>
      </c>
      <c r="O8" s="16"/>
    </row>
    <row r="9" spans="1:15">
      <c r="A9" s="1">
        <v>1987</v>
      </c>
      <c r="B9" s="21"/>
      <c r="C9" s="21"/>
      <c r="D9" s="21"/>
      <c r="E9" s="21"/>
      <c r="F9" s="21"/>
      <c r="G9" s="21"/>
      <c r="H9" s="21"/>
      <c r="I9" s="21"/>
      <c r="J9" s="21">
        <v>1.0029999999999999</v>
      </c>
      <c r="K9" s="21">
        <v>1.004</v>
      </c>
      <c r="L9" s="21">
        <v>1.0029999999999999</v>
      </c>
      <c r="M9" s="21" t="s">
        <v>34</v>
      </c>
      <c r="N9" s="21" t="s">
        <v>34</v>
      </c>
      <c r="O9" s="16"/>
    </row>
    <row r="10" spans="1:15">
      <c r="A10" s="1">
        <v>1988</v>
      </c>
      <c r="B10" s="21"/>
      <c r="C10" s="21"/>
      <c r="D10" s="21"/>
      <c r="E10" s="21"/>
      <c r="F10" s="21"/>
      <c r="G10" s="21"/>
      <c r="H10" s="21"/>
      <c r="I10" s="21">
        <v>1.0029999999999999</v>
      </c>
      <c r="J10" s="21">
        <v>1.004</v>
      </c>
      <c r="K10" s="21">
        <v>1.002</v>
      </c>
      <c r="L10" s="21" t="s">
        <v>34</v>
      </c>
      <c r="M10" s="21" t="s">
        <v>34</v>
      </c>
      <c r="N10" s="21" t="s">
        <v>34</v>
      </c>
      <c r="O10" s="16"/>
    </row>
    <row r="11" spans="1:15">
      <c r="A11" s="1">
        <v>1989</v>
      </c>
      <c r="B11" s="21"/>
      <c r="C11" s="21"/>
      <c r="D11" s="21"/>
      <c r="E11" s="21"/>
      <c r="F11" s="21"/>
      <c r="G11" s="21"/>
      <c r="H11" s="21">
        <v>1.0029999999999999</v>
      </c>
      <c r="I11" s="21">
        <v>1.004</v>
      </c>
      <c r="J11" s="21">
        <v>1.0029999999999999</v>
      </c>
      <c r="K11" s="21" t="s">
        <v>34</v>
      </c>
      <c r="L11" s="21" t="s">
        <v>34</v>
      </c>
      <c r="M11" s="21" t="s">
        <v>34</v>
      </c>
      <c r="N11" s="21" t="s">
        <v>34</v>
      </c>
      <c r="O11" s="16"/>
    </row>
    <row r="12" spans="1:15">
      <c r="A12" s="1">
        <v>1990</v>
      </c>
      <c r="B12" s="21"/>
      <c r="C12" s="21"/>
      <c r="D12" s="21"/>
      <c r="E12" s="21"/>
      <c r="F12" s="21"/>
      <c r="G12" s="21">
        <v>1.0029999999999999</v>
      </c>
      <c r="H12" s="21">
        <v>1.0029999999999999</v>
      </c>
      <c r="I12" s="21">
        <v>1.0029999999999999</v>
      </c>
      <c r="J12" s="21" t="s">
        <v>34</v>
      </c>
      <c r="K12" s="21" t="s">
        <v>34</v>
      </c>
      <c r="L12" s="21" t="s">
        <v>34</v>
      </c>
      <c r="M12" s="21" t="s">
        <v>34</v>
      </c>
      <c r="N12" s="21" t="s">
        <v>34</v>
      </c>
      <c r="O12" s="16"/>
    </row>
    <row r="13" spans="1:15">
      <c r="A13" s="1">
        <v>1991</v>
      </c>
      <c r="B13" s="21"/>
      <c r="C13" s="21"/>
      <c r="D13" s="21"/>
      <c r="E13" s="21"/>
      <c r="F13" s="21">
        <v>1.0029999999999999</v>
      </c>
      <c r="G13" s="21">
        <v>1.004</v>
      </c>
      <c r="H13" s="21">
        <v>1.004</v>
      </c>
      <c r="I13" s="21" t="s">
        <v>34</v>
      </c>
      <c r="J13" s="21" t="s">
        <v>34</v>
      </c>
      <c r="K13" s="21" t="s">
        <v>34</v>
      </c>
      <c r="L13" s="21" t="s">
        <v>34</v>
      </c>
      <c r="M13" s="21" t="s">
        <v>34</v>
      </c>
      <c r="N13" s="21" t="s">
        <v>34</v>
      </c>
      <c r="O13" s="16"/>
    </row>
    <row r="14" spans="1:15">
      <c r="A14" s="1">
        <v>1992</v>
      </c>
      <c r="B14" s="21"/>
      <c r="C14" s="21"/>
      <c r="D14" s="21"/>
      <c r="E14" s="21">
        <v>1.0049999999999999</v>
      </c>
      <c r="F14" s="21">
        <v>1.0069999999999999</v>
      </c>
      <c r="G14" s="21">
        <v>1.0029999999999999</v>
      </c>
      <c r="H14" s="21" t="s">
        <v>34</v>
      </c>
      <c r="I14" s="21" t="s">
        <v>34</v>
      </c>
      <c r="J14" s="21" t="s">
        <v>34</v>
      </c>
      <c r="K14" s="21" t="s">
        <v>34</v>
      </c>
      <c r="L14" s="21" t="s">
        <v>34</v>
      </c>
      <c r="M14" s="21" t="s">
        <v>34</v>
      </c>
      <c r="N14" s="21" t="s">
        <v>34</v>
      </c>
      <c r="O14" s="16"/>
    </row>
    <row r="15" spans="1:15">
      <c r="A15" s="1">
        <v>1993</v>
      </c>
      <c r="B15" s="21"/>
      <c r="C15" s="21"/>
      <c r="D15" s="21">
        <v>1.0069999999999999</v>
      </c>
      <c r="E15" s="21">
        <v>1.0089999999999999</v>
      </c>
      <c r="F15" s="21">
        <v>1.004</v>
      </c>
      <c r="G15" s="21" t="s">
        <v>34</v>
      </c>
      <c r="H15" s="21" t="s">
        <v>34</v>
      </c>
      <c r="I15" s="21" t="s">
        <v>34</v>
      </c>
      <c r="J15" s="21" t="s">
        <v>34</v>
      </c>
      <c r="K15" s="21" t="s">
        <v>34</v>
      </c>
      <c r="L15" s="21" t="s">
        <v>34</v>
      </c>
      <c r="M15" s="21" t="s">
        <v>34</v>
      </c>
      <c r="N15" s="21" t="s">
        <v>34</v>
      </c>
      <c r="O15" s="16"/>
    </row>
    <row r="16" spans="1:15">
      <c r="A16" s="1">
        <v>1994</v>
      </c>
      <c r="B16" s="21"/>
      <c r="C16" s="21">
        <v>1.0069999999999999</v>
      </c>
      <c r="D16" s="21">
        <v>1.004</v>
      </c>
      <c r="E16" s="21">
        <v>1.0049999999999999</v>
      </c>
      <c r="F16" s="21" t="s">
        <v>34</v>
      </c>
      <c r="G16" s="21" t="s">
        <v>34</v>
      </c>
      <c r="H16" s="21" t="s">
        <v>34</v>
      </c>
      <c r="I16" s="21" t="s">
        <v>34</v>
      </c>
      <c r="J16" s="21" t="s">
        <v>34</v>
      </c>
      <c r="K16" s="21" t="s">
        <v>34</v>
      </c>
      <c r="L16" s="21" t="s">
        <v>34</v>
      </c>
      <c r="M16" s="21" t="s">
        <v>34</v>
      </c>
      <c r="N16" s="21" t="s">
        <v>34</v>
      </c>
      <c r="O16" s="16"/>
    </row>
    <row r="17" spans="1:15">
      <c r="A17" s="1">
        <v>1995</v>
      </c>
      <c r="B17" s="21">
        <v>1.008</v>
      </c>
      <c r="C17" s="21">
        <v>1.008</v>
      </c>
      <c r="D17" s="21">
        <v>1.0089999999999999</v>
      </c>
      <c r="E17" s="21" t="s">
        <v>34</v>
      </c>
      <c r="F17" s="21" t="s">
        <v>34</v>
      </c>
      <c r="G17" s="21" t="s">
        <v>34</v>
      </c>
      <c r="H17" s="21" t="s">
        <v>34</v>
      </c>
      <c r="I17" s="21" t="s">
        <v>34</v>
      </c>
      <c r="J17" s="21" t="s">
        <v>34</v>
      </c>
      <c r="K17" s="21" t="s">
        <v>34</v>
      </c>
      <c r="L17" s="21" t="s">
        <v>34</v>
      </c>
      <c r="M17" s="21" t="s">
        <v>34</v>
      </c>
      <c r="N17" s="21" t="s">
        <v>34</v>
      </c>
      <c r="O17" s="16"/>
    </row>
    <row r="18" spans="1:15">
      <c r="A18" s="1">
        <v>1996</v>
      </c>
      <c r="B18" s="21">
        <v>1.0109999999999999</v>
      </c>
      <c r="C18" s="21">
        <v>1.008</v>
      </c>
      <c r="D18" s="21" t="s">
        <v>34</v>
      </c>
      <c r="E18" s="21" t="s">
        <v>34</v>
      </c>
      <c r="F18" s="21" t="s">
        <v>34</v>
      </c>
      <c r="G18" s="21" t="s">
        <v>34</v>
      </c>
      <c r="H18" s="21" t="s">
        <v>34</v>
      </c>
      <c r="I18" s="21" t="s">
        <v>34</v>
      </c>
      <c r="J18" s="21" t="s">
        <v>34</v>
      </c>
      <c r="K18" s="21" t="s">
        <v>34</v>
      </c>
      <c r="L18" s="21" t="s">
        <v>34</v>
      </c>
      <c r="M18" s="21" t="s">
        <v>34</v>
      </c>
      <c r="N18" s="21" t="s">
        <v>34</v>
      </c>
      <c r="O18" s="16"/>
    </row>
    <row r="19" spans="1:15">
      <c r="A19" s="1">
        <v>1997</v>
      </c>
      <c r="B19" s="21">
        <v>1.008</v>
      </c>
      <c r="C19" s="21" t="s">
        <v>34</v>
      </c>
      <c r="D19" s="21" t="s">
        <v>34</v>
      </c>
      <c r="E19" s="21" t="s">
        <v>34</v>
      </c>
      <c r="F19" s="21" t="s">
        <v>34</v>
      </c>
      <c r="G19" s="21" t="s">
        <v>34</v>
      </c>
      <c r="H19" s="21" t="s">
        <v>34</v>
      </c>
      <c r="I19" s="21" t="s">
        <v>34</v>
      </c>
      <c r="J19" s="21" t="s">
        <v>34</v>
      </c>
      <c r="K19" s="21" t="s">
        <v>34</v>
      </c>
      <c r="L19" s="21" t="s">
        <v>34</v>
      </c>
      <c r="M19" s="21" t="s">
        <v>34</v>
      </c>
      <c r="N19" s="21" t="s">
        <v>34</v>
      </c>
      <c r="O19" s="16"/>
    </row>
    <row r="20" spans="1:15">
      <c r="A20" s="1">
        <v>1998</v>
      </c>
      <c r="B20" s="21" t="s">
        <v>34</v>
      </c>
      <c r="C20" s="21" t="s">
        <v>34</v>
      </c>
      <c r="D20" s="21" t="s">
        <v>34</v>
      </c>
      <c r="E20" s="21" t="s">
        <v>34</v>
      </c>
      <c r="F20" s="21" t="s">
        <v>34</v>
      </c>
      <c r="G20" s="21" t="s">
        <v>34</v>
      </c>
      <c r="H20" s="21" t="s">
        <v>34</v>
      </c>
      <c r="I20" s="21" t="s">
        <v>34</v>
      </c>
      <c r="J20" s="21" t="s">
        <v>34</v>
      </c>
      <c r="K20" s="21" t="s">
        <v>34</v>
      </c>
      <c r="L20" s="21" t="s">
        <v>34</v>
      </c>
      <c r="M20" s="21" t="s">
        <v>34</v>
      </c>
      <c r="N20" s="21" t="s">
        <v>34</v>
      </c>
      <c r="O20" s="16"/>
    </row>
    <row r="21" spans="1:15">
      <c r="A21" s="1"/>
      <c r="B21" s="16"/>
      <c r="C21" s="16"/>
      <c r="D21" s="16"/>
      <c r="E21" s="16"/>
      <c r="F21" s="16"/>
      <c r="G21" s="16"/>
      <c r="H21" s="16"/>
      <c r="I21" s="16"/>
      <c r="J21" s="16"/>
      <c r="K21" s="16"/>
      <c r="L21" s="16"/>
      <c r="M21" s="16"/>
      <c r="N21" s="16"/>
      <c r="O21" s="16"/>
    </row>
    <row r="22" spans="1:15">
      <c r="A22" s="18"/>
      <c r="B22" s="16"/>
      <c r="O22" s="16"/>
    </row>
    <row r="23" spans="1:15" s="351" customFormat="1">
      <c r="A23" s="1" t="s">
        <v>413</v>
      </c>
      <c r="B23" s="16">
        <f>AVERAGE(B17:B19)</f>
        <v>1.0090000000000001</v>
      </c>
      <c r="C23" s="16">
        <f>AVERAGE(C16:C18)</f>
        <v>1.0076666666666665</v>
      </c>
      <c r="D23" s="16">
        <f>AVERAGE(D15:D17)</f>
        <v>1.0066666666666666</v>
      </c>
      <c r="E23" s="16">
        <f>AVERAGE(E14:E16)</f>
        <v>1.0063333333333333</v>
      </c>
      <c r="F23" s="16">
        <f>AVERAGE(F13:F15)</f>
        <v>1.0046666666666666</v>
      </c>
      <c r="G23" s="16">
        <f>AVERAGE(G12:G14)</f>
        <v>1.0033333333333332</v>
      </c>
      <c r="H23" s="16">
        <f>AVERAGE(H11:H13)</f>
        <v>1.0033333333333332</v>
      </c>
      <c r="I23" s="16">
        <f>AVERAGE(I10:I12)</f>
        <v>1.0033333333333332</v>
      </c>
      <c r="J23" s="16">
        <f>AVERAGE(J9:J11)</f>
        <v>1.0033333333333332</v>
      </c>
      <c r="K23" s="16">
        <f>AVERAGE(K8:K10)</f>
        <v>1.0036666666666667</v>
      </c>
      <c r="L23" s="16">
        <f>AVERAGE(L7:L9)</f>
        <v>1.0030000000000001</v>
      </c>
      <c r="M23" s="16">
        <f>AVERAGE(M6:M8)</f>
        <v>1.002</v>
      </c>
      <c r="N23" s="16">
        <f>AVERAGE(N5:N7)</f>
        <v>1.0023333333333333</v>
      </c>
      <c r="O23" s="21">
        <v>1.0680000000000001</v>
      </c>
    </row>
    <row r="24" spans="1:15">
      <c r="A24" s="1" t="s">
        <v>414</v>
      </c>
      <c r="B24" s="21">
        <v>1.006333146887963</v>
      </c>
      <c r="C24" s="21">
        <v>1.0054343149362264</v>
      </c>
      <c r="D24" s="21">
        <v>1.0047824241679448</v>
      </c>
      <c r="E24" s="21">
        <v>1.0046156064929803</v>
      </c>
      <c r="F24" s="21">
        <v>1.0034962662117126</v>
      </c>
      <c r="G24" s="21">
        <v>1.0025520111846637</v>
      </c>
      <c r="H24" s="21">
        <v>1.002591946596376</v>
      </c>
      <c r="I24" s="21">
        <v>1.0025671077714458</v>
      </c>
      <c r="J24" s="21">
        <v>1.0025656055116985</v>
      </c>
      <c r="K24" s="21">
        <v>1.0027454213124745</v>
      </c>
      <c r="L24" s="21">
        <v>1.0028011357884286</v>
      </c>
      <c r="M24" s="21">
        <v>1.0017825409562728</v>
      </c>
      <c r="N24" s="21">
        <v>1.0015278922482338</v>
      </c>
      <c r="O24" s="16">
        <f>O25</f>
        <v>1.0469999999999999</v>
      </c>
    </row>
    <row r="25" spans="1:15">
      <c r="A25" s="1" t="s">
        <v>21</v>
      </c>
      <c r="B25" s="16">
        <f t="shared" ref="B25:M25" si="0">B24*C25</f>
        <v>1.0937782021434539</v>
      </c>
      <c r="C25" s="16">
        <f t="shared" si="0"/>
        <v>1.0868947381152161</v>
      </c>
      <c r="D25" s="16">
        <f t="shared" si="0"/>
        <v>1.0810201342532821</v>
      </c>
      <c r="E25" s="16">
        <f t="shared" si="0"/>
        <v>1.07587484439576</v>
      </c>
      <c r="F25" s="16">
        <f t="shared" si="0"/>
        <v>1.0709318444211104</v>
      </c>
      <c r="G25" s="16">
        <f t="shared" si="0"/>
        <v>1.0672006269280634</v>
      </c>
      <c r="H25" s="16">
        <f t="shared" si="0"/>
        <v>1.0644840517221723</v>
      </c>
      <c r="I25" s="16">
        <f t="shared" si="0"/>
        <v>1.0617320988223666</v>
      </c>
      <c r="J25" s="16">
        <f t="shared" si="0"/>
        <v>1.059013497044039</v>
      </c>
      <c r="K25" s="16">
        <f t="shared" si="0"/>
        <v>1.0563034391186104</v>
      </c>
      <c r="L25" s="16">
        <f t="shared" si="0"/>
        <v>1.053411381062239</v>
      </c>
      <c r="M25" s="16">
        <f t="shared" si="0"/>
        <v>1.0504688751015616</v>
      </c>
      <c r="N25" s="16">
        <f>N24*O25</f>
        <v>1.0485997031839007</v>
      </c>
      <c r="O25" s="21">
        <v>1.0469999999999999</v>
      </c>
    </row>
    <row r="26" spans="1:15">
      <c r="A26" s="17"/>
      <c r="B26" s="139"/>
      <c r="C26" s="139"/>
      <c r="D26" s="139"/>
      <c r="E26" s="139"/>
      <c r="F26" s="139"/>
      <c r="G26" s="139"/>
      <c r="H26" s="139"/>
      <c r="I26" s="139"/>
      <c r="J26" s="139"/>
      <c r="K26" s="139"/>
      <c r="L26" s="139"/>
      <c r="M26" s="139"/>
      <c r="N26" s="139"/>
      <c r="O26" s="139"/>
    </row>
    <row r="27" spans="1:15" ht="12.75" customHeight="1">
      <c r="A27" s="3" t="s">
        <v>42</v>
      </c>
      <c r="B27" s="44" t="s">
        <v>456</v>
      </c>
      <c r="C27" s="355"/>
      <c r="D27" s="355"/>
      <c r="E27" s="355"/>
      <c r="F27" s="355"/>
      <c r="G27" s="355"/>
      <c r="H27" s="355"/>
      <c r="I27" s="355"/>
      <c r="J27" s="355"/>
      <c r="K27" s="355"/>
      <c r="L27" s="355"/>
      <c r="M27" s="355"/>
      <c r="N27" s="355"/>
      <c r="O27" s="355"/>
    </row>
    <row r="28" spans="1:15" ht="12.75" customHeight="1">
      <c r="A28" s="24" t="s">
        <v>344</v>
      </c>
      <c r="B28" s="355" t="s">
        <v>544</v>
      </c>
      <c r="C28" s="385"/>
      <c r="D28" s="385"/>
      <c r="E28" s="385"/>
      <c r="F28" s="385"/>
      <c r="G28" s="385"/>
      <c r="H28" s="385"/>
      <c r="I28" s="385"/>
      <c r="J28" s="385"/>
      <c r="K28" s="385"/>
      <c r="L28" s="385"/>
      <c r="M28" s="385"/>
      <c r="N28" s="385"/>
      <c r="O28" s="385"/>
    </row>
    <row r="29" spans="1:15">
      <c r="A29" s="24"/>
      <c r="B29" s="355" t="s">
        <v>545</v>
      </c>
      <c r="C29" s="44"/>
      <c r="D29" s="44"/>
      <c r="E29" s="44"/>
      <c r="F29" s="44"/>
      <c r="G29" s="44"/>
      <c r="H29" s="44"/>
      <c r="I29" s="44"/>
      <c r="J29" s="44"/>
      <c r="K29" s="44"/>
      <c r="L29" s="44"/>
      <c r="M29" s="44"/>
      <c r="N29" s="44"/>
      <c r="O29" s="44"/>
    </row>
  </sheetData>
  <pageMargins left="0.7" right="0.7" top="0.75" bottom="0.75" header="0.3" footer="0.3"/>
  <pageSetup scale="90" orientation="landscape" blackAndWhite="1" horizontalDpi="1200" verticalDpi="1200" r:id="rId1"/>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330"/>
  <sheetViews>
    <sheetView zoomScaleNormal="100" zoomScaleSheetLayoutView="99" workbookViewId="0"/>
  </sheetViews>
  <sheetFormatPr defaultColWidth="8.86328125" defaultRowHeight="14.25"/>
  <cols>
    <col min="1" max="1" width="8.73046875" style="230" customWidth="1"/>
    <col min="2" max="2" width="7.73046875" style="230" customWidth="1"/>
    <col min="3" max="3" width="15.73046875" style="230" bestFit="1" customWidth="1"/>
    <col min="4" max="10" width="10" style="230" customWidth="1"/>
    <col min="11" max="11" width="12.73046875" style="230" customWidth="1"/>
    <col min="12" max="16384" width="8.86328125" style="230"/>
  </cols>
  <sheetData>
    <row r="1" spans="1:11" ht="45" customHeight="1">
      <c r="A1"/>
      <c r="B1"/>
      <c r="K1" s="148" t="s">
        <v>390</v>
      </c>
    </row>
    <row r="2" spans="1:11" s="197" customFormat="1" ht="13.15">
      <c r="A2" s="279" t="s">
        <v>35</v>
      </c>
      <c r="B2" s="279"/>
      <c r="C2" s="279"/>
      <c r="D2" s="279"/>
      <c r="E2" s="279"/>
      <c r="F2" s="279"/>
      <c r="G2" s="279"/>
      <c r="H2" s="279"/>
      <c r="I2" s="279"/>
      <c r="J2" s="279"/>
      <c r="K2" s="279"/>
    </row>
    <row r="3" spans="1:11" s="197" customFormat="1" ht="13.15">
      <c r="A3" s="279" t="s">
        <v>262</v>
      </c>
      <c r="B3" s="279"/>
      <c r="C3" s="279"/>
      <c r="D3" s="279"/>
      <c r="E3" s="279"/>
      <c r="F3" s="279"/>
      <c r="G3" s="279"/>
      <c r="H3" s="279"/>
      <c r="I3" s="279"/>
      <c r="J3" s="279"/>
      <c r="K3" s="279"/>
    </row>
    <row r="4" spans="1:11" s="197" customFormat="1" ht="13.15">
      <c r="A4" s="279" t="s">
        <v>263</v>
      </c>
      <c r="B4" s="279"/>
      <c r="C4" s="279"/>
      <c r="D4" s="279"/>
      <c r="E4" s="279"/>
      <c r="F4" s="279"/>
      <c r="G4" s="279"/>
      <c r="H4" s="279"/>
      <c r="I4" s="279"/>
      <c r="J4" s="279"/>
      <c r="K4" s="279"/>
    </row>
    <row r="5" spans="1:11" s="197" customFormat="1" ht="13.15">
      <c r="A5" s="195"/>
      <c r="B5" s="195"/>
      <c r="C5" s="195"/>
      <c r="D5" s="195"/>
      <c r="E5" s="195"/>
      <c r="F5" s="195"/>
      <c r="G5" s="195"/>
      <c r="H5" s="195"/>
      <c r="I5" s="195"/>
      <c r="J5" s="340"/>
      <c r="K5" s="195"/>
    </row>
    <row r="6" spans="1:11" s="197" customFormat="1" ht="12.75">
      <c r="A6" s="239"/>
      <c r="B6" s="239" t="s">
        <v>264</v>
      </c>
      <c r="C6" s="239"/>
      <c r="D6" s="239"/>
      <c r="E6" s="239"/>
      <c r="F6" s="239"/>
      <c r="G6" s="239"/>
      <c r="H6" s="239"/>
      <c r="I6" s="239"/>
      <c r="J6" s="337"/>
    </row>
    <row r="7" spans="1:11" s="197" customFormat="1" ht="12.75">
      <c r="J7" s="338"/>
    </row>
    <row r="8" spans="1:11" s="197" customFormat="1" ht="12.75">
      <c r="C8" s="199" t="s">
        <v>203</v>
      </c>
      <c r="D8" s="533"/>
      <c r="E8" s="533"/>
      <c r="F8" s="533"/>
      <c r="G8" s="533"/>
      <c r="H8" s="533"/>
      <c r="I8" s="533"/>
      <c r="J8" s="341"/>
      <c r="K8" s="61"/>
    </row>
    <row r="9" spans="1:11" s="197" customFormat="1" ht="12.75">
      <c r="C9" s="26" t="s">
        <v>8</v>
      </c>
      <c r="D9" s="79">
        <v>15</v>
      </c>
      <c r="E9" s="79">
        <v>27</v>
      </c>
      <c r="F9" s="79">
        <v>39</v>
      </c>
      <c r="G9" s="79">
        <v>51</v>
      </c>
      <c r="H9" s="79">
        <v>63</v>
      </c>
      <c r="I9" s="79">
        <v>75</v>
      </c>
      <c r="J9" s="79"/>
      <c r="K9" s="26"/>
    </row>
    <row r="10" spans="1:11" s="197" customFormat="1" ht="4.5" customHeight="1">
      <c r="J10" s="338"/>
    </row>
    <row r="11" spans="1:11" s="197" customFormat="1" ht="12.75">
      <c r="C11" s="199">
        <f>'Exhibits 2.5.3 - 2.5.8'!C12</f>
        <v>2011</v>
      </c>
      <c r="D11" s="417"/>
      <c r="E11" s="417"/>
      <c r="F11" s="417"/>
      <c r="G11" s="417"/>
      <c r="H11" s="417"/>
      <c r="I11" s="417">
        <v>118056.68676780445</v>
      </c>
      <c r="J11" s="75"/>
    </row>
    <row r="12" spans="1:11" s="197" customFormat="1" ht="12.75">
      <c r="C12" s="199">
        <f>'Exhibits 2.5.3 - 2.5.8'!C13</f>
        <v>2012</v>
      </c>
      <c r="D12" s="417"/>
      <c r="E12" s="417"/>
      <c r="F12" s="417"/>
      <c r="G12" s="417"/>
      <c r="H12" s="417">
        <v>124734.36537833596</v>
      </c>
      <c r="I12" s="417">
        <v>125038.4253323033</v>
      </c>
      <c r="J12" s="75"/>
    </row>
    <row r="13" spans="1:11" s="197" customFormat="1" ht="12.75">
      <c r="C13" s="199">
        <f>'Exhibits 2.5.3 - 2.5.8'!C14</f>
        <v>2013</v>
      </c>
      <c r="D13" s="417"/>
      <c r="E13" s="417"/>
      <c r="F13" s="417"/>
      <c r="G13" s="417">
        <v>132687.21340875633</v>
      </c>
      <c r="H13" s="417">
        <v>133239.54507072773</v>
      </c>
      <c r="I13" s="417">
        <v>133420</v>
      </c>
      <c r="J13" s="75"/>
    </row>
    <row r="14" spans="1:11" s="197" customFormat="1" ht="12.75">
      <c r="C14" s="199">
        <f>'Exhibits 2.5.3 - 2.5.8'!C15</f>
        <v>2014</v>
      </c>
      <c r="D14" s="417"/>
      <c r="E14" s="417"/>
      <c r="F14" s="417">
        <v>137695.83276430969</v>
      </c>
      <c r="G14" s="417">
        <v>138801.48305454754</v>
      </c>
      <c r="H14" s="417">
        <v>139291</v>
      </c>
      <c r="I14" s="417">
        <v>139484</v>
      </c>
      <c r="J14" s="75"/>
    </row>
    <row r="15" spans="1:11" s="197" customFormat="1" ht="12.75">
      <c r="C15" s="199">
        <f>'Exhibits 2.5.3 - 2.5.8'!C16</f>
        <v>2015</v>
      </c>
      <c r="D15" s="417"/>
      <c r="E15" s="417">
        <v>141124.82195630056</v>
      </c>
      <c r="F15" s="417">
        <v>143383.0185068553</v>
      </c>
      <c r="G15" s="417">
        <v>144053</v>
      </c>
      <c r="H15" s="417">
        <v>144477</v>
      </c>
      <c r="I15" s="417"/>
      <c r="J15" s="75"/>
    </row>
    <row r="16" spans="1:11" s="197" customFormat="1" ht="12.75">
      <c r="C16" s="199">
        <f>'Exhibits 2.5.3 - 2.5.8'!C17</f>
        <v>2016</v>
      </c>
      <c r="D16" s="417">
        <v>130818.90257145574</v>
      </c>
      <c r="E16" s="417">
        <v>143982.4729874825</v>
      </c>
      <c r="F16" s="417">
        <v>146759</v>
      </c>
      <c r="G16" s="417">
        <v>147507</v>
      </c>
      <c r="H16" s="417"/>
      <c r="I16" s="417"/>
      <c r="J16" s="75"/>
    </row>
    <row r="17" spans="1:11" s="197" customFormat="1" ht="12.75">
      <c r="C17" s="199">
        <f>'Exhibits 2.5.3 - 2.5.8'!C18</f>
        <v>2017</v>
      </c>
      <c r="D17" s="417">
        <v>133053.65318635892</v>
      </c>
      <c r="E17" s="417">
        <v>144784</v>
      </c>
      <c r="F17" s="417">
        <v>147273</v>
      </c>
      <c r="G17" s="417"/>
      <c r="H17" s="417"/>
      <c r="I17" s="417"/>
      <c r="J17" s="75"/>
    </row>
    <row r="18" spans="1:11" s="197" customFormat="1" ht="12.75">
      <c r="C18" s="199">
        <f>'Exhibits 2.5.3 - 2.5.8'!C19</f>
        <v>2018</v>
      </c>
      <c r="D18" s="417">
        <v>135505</v>
      </c>
      <c r="E18" s="417">
        <v>147945</v>
      </c>
      <c r="F18" s="417"/>
      <c r="G18" s="417"/>
      <c r="H18" s="417"/>
      <c r="I18" s="417"/>
      <c r="J18" s="75"/>
    </row>
    <row r="19" spans="1:11" s="197" customFormat="1" ht="12.75">
      <c r="C19" s="199">
        <f>'Exhibits 2.5.3 - 2.5.8'!C20</f>
        <v>2019</v>
      </c>
      <c r="D19" s="417">
        <v>138773</v>
      </c>
      <c r="E19" s="417"/>
      <c r="F19" s="417"/>
      <c r="G19" s="417"/>
      <c r="H19" s="417"/>
      <c r="I19" s="417"/>
      <c r="J19" s="75"/>
    </row>
    <row r="20" spans="1:11" s="197" customFormat="1" ht="12.75">
      <c r="C20" s="199"/>
      <c r="D20" s="75"/>
      <c r="E20" s="75"/>
      <c r="F20" s="75"/>
      <c r="G20" s="75"/>
      <c r="H20" s="75"/>
      <c r="I20" s="75"/>
      <c r="J20" s="75"/>
    </row>
    <row r="21" spans="1:11" s="197" customFormat="1" ht="12.75">
      <c r="A21" s="239"/>
      <c r="B21" s="239" t="s">
        <v>265</v>
      </c>
      <c r="C21" s="239"/>
      <c r="D21" s="239"/>
      <c r="E21" s="239"/>
      <c r="F21" s="239"/>
      <c r="G21" s="239"/>
      <c r="H21" s="239"/>
      <c r="I21" s="239"/>
      <c r="J21" s="337"/>
    </row>
    <row r="22" spans="1:11" s="197" customFormat="1" ht="12.75">
      <c r="A22" s="49"/>
      <c r="B22" s="49"/>
      <c r="C22" s="50"/>
      <c r="D22" s="50"/>
      <c r="E22" s="50"/>
      <c r="F22" s="50"/>
      <c r="G22" s="50"/>
      <c r="H22" s="50"/>
      <c r="I22" s="50"/>
      <c r="J22" s="50"/>
      <c r="K22" s="50"/>
    </row>
    <row r="23" spans="1:11" s="197" customFormat="1" ht="12.75">
      <c r="C23" s="199" t="s">
        <v>54</v>
      </c>
      <c r="D23" s="533"/>
      <c r="E23" s="533"/>
      <c r="F23" s="533"/>
      <c r="G23" s="533"/>
      <c r="H23" s="533"/>
      <c r="I23" s="533"/>
      <c r="J23" s="341"/>
      <c r="K23" s="235"/>
    </row>
    <row r="24" spans="1:11" s="197" customFormat="1" ht="13.15">
      <c r="C24" s="26" t="s">
        <v>8</v>
      </c>
      <c r="D24" s="79" t="str">
        <f>+D9&amp;"-"&amp;E9</f>
        <v>15-27</v>
      </c>
      <c r="E24" s="79" t="str">
        <f>+E9&amp;"-"&amp;F9</f>
        <v>27-39</v>
      </c>
      <c r="F24" s="79" t="str">
        <f>+F9&amp;"-"&amp;G9</f>
        <v>39-51</v>
      </c>
      <c r="G24" s="79" t="str">
        <f>+G9&amp;"-"&amp;H9</f>
        <v>51-63</v>
      </c>
      <c r="H24" s="79" t="str">
        <f>+H9&amp;"-"&amp;I9</f>
        <v>63-75</v>
      </c>
      <c r="I24" s="79" t="str">
        <f>RIGHT(H24,2)&amp;"-Ult"</f>
        <v>75-Ult</v>
      </c>
      <c r="J24" s="79"/>
      <c r="K24" s="236"/>
    </row>
    <row r="25" spans="1:11" s="197" customFormat="1" ht="4.5" customHeight="1">
      <c r="J25" s="338"/>
    </row>
    <row r="26" spans="1:11" s="197" customFormat="1" ht="12.75">
      <c r="C26" s="199">
        <f t="shared" ref="C26:C32" si="0">+C12</f>
        <v>2012</v>
      </c>
      <c r="D26" s="54"/>
      <c r="E26" s="54"/>
      <c r="F26" s="54"/>
      <c r="G26" s="54"/>
      <c r="H26" s="149">
        <f t="shared" ref="D26:H32" si="1">I12/H12</f>
        <v>1.0024376598465474</v>
      </c>
      <c r="I26" s="54"/>
      <c r="J26" s="54"/>
      <c r="K26" s="54"/>
    </row>
    <row r="27" spans="1:11" s="197" customFormat="1" ht="12.75">
      <c r="C27" s="199">
        <f t="shared" si="0"/>
        <v>2013</v>
      </c>
      <c r="D27" s="54"/>
      <c r="E27" s="54"/>
      <c r="F27" s="54"/>
      <c r="G27" s="149">
        <f t="shared" si="1"/>
        <v>1.0041626592930992</v>
      </c>
      <c r="H27" s="149">
        <f t="shared" si="1"/>
        <v>1.0013543646458449</v>
      </c>
      <c r="I27" s="54"/>
      <c r="J27" s="54"/>
      <c r="K27" s="54"/>
    </row>
    <row r="28" spans="1:11" s="197" customFormat="1" ht="12.75">
      <c r="C28" s="199">
        <f t="shared" si="0"/>
        <v>2014</v>
      </c>
      <c r="D28" s="54"/>
      <c r="E28" s="54"/>
      <c r="F28" s="149">
        <f t="shared" si="1"/>
        <v>1.0080296568751674</v>
      </c>
      <c r="G28" s="149">
        <f t="shared" si="1"/>
        <v>1.0035267414632745</v>
      </c>
      <c r="H28" s="149">
        <f t="shared" si="1"/>
        <v>1.0013855884443359</v>
      </c>
      <c r="I28" s="54"/>
      <c r="J28" s="54"/>
      <c r="K28" s="54"/>
    </row>
    <row r="29" spans="1:11" s="197" customFormat="1" ht="12.75">
      <c r="C29" s="199">
        <f t="shared" si="0"/>
        <v>2015</v>
      </c>
      <c r="D29" s="54"/>
      <c r="E29" s="149">
        <f t="shared" si="1"/>
        <v>1.0160014129282939</v>
      </c>
      <c r="F29" s="149">
        <f t="shared" si="1"/>
        <v>1.0046726697493307</v>
      </c>
      <c r="G29" s="149">
        <f t="shared" si="1"/>
        <v>1.0029433611240308</v>
      </c>
      <c r="H29" s="54"/>
      <c r="I29" s="54"/>
      <c r="J29" s="54"/>
      <c r="K29" s="54"/>
    </row>
    <row r="30" spans="1:11" s="197" customFormat="1" ht="12.75">
      <c r="C30" s="199">
        <f t="shared" si="0"/>
        <v>2016</v>
      </c>
      <c r="D30" s="149">
        <f t="shared" si="1"/>
        <v>1.1006243758147762</v>
      </c>
      <c r="E30" s="149">
        <f t="shared" si="1"/>
        <v>1.0192837847198171</v>
      </c>
      <c r="F30" s="149">
        <f t="shared" si="1"/>
        <v>1.0050967913381803</v>
      </c>
      <c r="G30" s="54"/>
      <c r="H30" s="54"/>
      <c r="I30" s="54"/>
      <c r="J30" s="54"/>
      <c r="K30" s="54"/>
    </row>
    <row r="31" spans="1:11" s="197" customFormat="1" ht="12.75">
      <c r="C31" s="199">
        <f t="shared" si="0"/>
        <v>2017</v>
      </c>
      <c r="D31" s="149">
        <f t="shared" si="1"/>
        <v>1.0881625309243572</v>
      </c>
      <c r="E31" s="149">
        <f t="shared" si="1"/>
        <v>1.0171911260912807</v>
      </c>
      <c r="F31" s="54"/>
      <c r="G31" s="54"/>
      <c r="H31" s="54"/>
      <c r="I31" s="54"/>
      <c r="J31" s="54"/>
      <c r="K31" s="54"/>
    </row>
    <row r="32" spans="1:11" s="197" customFormat="1" ht="12.75">
      <c r="C32" s="199">
        <f t="shared" si="0"/>
        <v>2018</v>
      </c>
      <c r="D32" s="149">
        <f t="shared" si="1"/>
        <v>1.0918047304527507</v>
      </c>
      <c r="E32" s="54"/>
      <c r="F32" s="54"/>
      <c r="G32" s="54"/>
      <c r="H32" s="54"/>
      <c r="I32" s="54"/>
      <c r="J32" s="54"/>
      <c r="K32" s="54"/>
    </row>
    <row r="33" spans="1:11" s="197" customFormat="1" ht="13.15" customHeight="1">
      <c r="A33" s="49"/>
      <c r="B33" s="49"/>
      <c r="C33" s="54"/>
      <c r="E33" s="54"/>
      <c r="F33" s="54"/>
      <c r="G33" s="142"/>
      <c r="H33" s="54"/>
      <c r="I33" s="54"/>
      <c r="J33" s="54"/>
      <c r="K33" s="54"/>
    </row>
    <row r="34" spans="1:11" s="197" customFormat="1" ht="12.75">
      <c r="C34" s="197" t="s">
        <v>266</v>
      </c>
      <c r="D34" s="54">
        <f>D32</f>
        <v>1.0918047304527507</v>
      </c>
      <c r="E34" s="54">
        <f>E31</f>
        <v>1.0171911260912807</v>
      </c>
      <c r="F34" s="54">
        <f>F30</f>
        <v>1.0050967913381803</v>
      </c>
      <c r="G34" s="54">
        <f>G29</f>
        <v>1.0029433611240308</v>
      </c>
      <c r="H34" s="54">
        <f>H28</f>
        <v>1.0013855884443359</v>
      </c>
      <c r="I34" s="54"/>
      <c r="J34" s="54"/>
    </row>
    <row r="35" spans="1:11" s="197" customFormat="1" ht="12.75">
      <c r="C35" s="197" t="s">
        <v>21</v>
      </c>
      <c r="D35" s="54">
        <f t="shared" ref="D35:G35" si="2">D34*E35</f>
        <v>1.1269441161214746</v>
      </c>
      <c r="E35" s="54">
        <f t="shared" si="2"/>
        <v>1.0321846798137175</v>
      </c>
      <c r="F35" s="54">
        <f t="shared" si="2"/>
        <v>1.0147401538785066</v>
      </c>
      <c r="G35" s="54">
        <f t="shared" si="2"/>
        <v>1.0095944615716932</v>
      </c>
      <c r="H35" s="54">
        <f>H34*I35</f>
        <v>1.0066315813090465</v>
      </c>
      <c r="I35" s="418">
        <v>1.0052387341352298</v>
      </c>
      <c r="J35" s="54"/>
    </row>
    <row r="36" spans="1:11" s="197" customFormat="1" ht="12.75">
      <c r="J36" s="338"/>
    </row>
    <row r="37" spans="1:11" s="197" customFormat="1" ht="12.75">
      <c r="D37" s="198"/>
      <c r="E37" s="198"/>
      <c r="F37" s="198"/>
      <c r="G37" s="198"/>
      <c r="H37" s="198"/>
      <c r="I37" s="198"/>
      <c r="J37" s="341"/>
      <c r="K37" s="200"/>
    </row>
    <row r="38" spans="1:11" s="197" customFormat="1" ht="12.75">
      <c r="C38" s="197" t="s">
        <v>267</v>
      </c>
      <c r="D38" s="79">
        <f>'Exhibits 2.5.3 - 2.5.8'!D39</f>
        <v>2019</v>
      </c>
      <c r="E38" s="79">
        <f>'Exhibits 2.5.3 - 2.5.8'!E39</f>
        <v>2018</v>
      </c>
      <c r="F38" s="79">
        <f>'Exhibits 2.5.3 - 2.5.8'!F39</f>
        <v>2017</v>
      </c>
      <c r="G38" s="79">
        <f>'Exhibits 2.5.3 - 2.5.8'!G39</f>
        <v>2016</v>
      </c>
      <c r="H38" s="79">
        <f>'Exhibits 2.5.3 - 2.5.8'!H39</f>
        <v>2015</v>
      </c>
      <c r="I38" s="79">
        <f>'Exhibits 2.5.3 - 2.5.8'!I39</f>
        <v>2014</v>
      </c>
      <c r="J38" s="79"/>
      <c r="K38" s="79"/>
    </row>
    <row r="39" spans="1:11" s="197" customFormat="1" ht="12.75">
      <c r="C39" s="197" t="s">
        <v>268</v>
      </c>
      <c r="D39" s="144">
        <f>D35*D19</f>
        <v>156389.41582652539</v>
      </c>
      <c r="E39" s="144">
        <f>E35*E18</f>
        <v>152706.56245504043</v>
      </c>
      <c r="F39" s="144">
        <f>F35*F17</f>
        <v>149443.82668214929</v>
      </c>
      <c r="G39" s="144">
        <f>G35*G16</f>
        <v>148922.25024305575</v>
      </c>
      <c r="H39" s="144">
        <f>H35*H15</f>
        <v>145435.11097278711</v>
      </c>
      <c r="I39" s="417">
        <v>140214.7195921184</v>
      </c>
      <c r="J39" s="75"/>
      <c r="K39" s="145"/>
    </row>
    <row r="40" spans="1:11" s="197" customFormat="1" ht="12.75">
      <c r="D40" s="145"/>
      <c r="E40" s="145"/>
      <c r="F40" s="145"/>
      <c r="G40" s="145"/>
      <c r="H40" s="145"/>
      <c r="I40" s="145"/>
      <c r="J40" s="145"/>
      <c r="K40" s="145"/>
    </row>
    <row r="41" spans="1:11" s="197" customFormat="1" ht="12.75">
      <c r="A41" s="239"/>
      <c r="B41" s="239" t="s">
        <v>269</v>
      </c>
      <c r="C41" s="239"/>
      <c r="D41" s="239"/>
      <c r="E41" s="239"/>
      <c r="F41" s="239"/>
      <c r="G41" s="239"/>
      <c r="H41" s="239"/>
      <c r="I41" s="239"/>
      <c r="J41" s="337"/>
    </row>
    <row r="42" spans="1:11" s="197" customFormat="1" ht="12.75">
      <c r="J42" s="338"/>
    </row>
    <row r="43" spans="1:11" s="197" customFormat="1" ht="12.75">
      <c r="C43" s="199" t="s">
        <v>203</v>
      </c>
      <c r="D43" s="533"/>
      <c r="E43" s="533"/>
      <c r="F43" s="533"/>
      <c r="G43" s="533"/>
      <c r="H43" s="533"/>
      <c r="I43" s="533"/>
      <c r="J43" s="341"/>
    </row>
    <row r="44" spans="1:11" s="197" customFormat="1" ht="12.75">
      <c r="B44" s="199"/>
      <c r="C44" s="26" t="s">
        <v>8</v>
      </c>
      <c r="D44" s="432">
        <v>15</v>
      </c>
      <c r="E44" s="432">
        <v>27</v>
      </c>
      <c r="F44" s="432">
        <v>39</v>
      </c>
      <c r="G44" s="432">
        <v>51</v>
      </c>
      <c r="H44" s="432">
        <v>63</v>
      </c>
      <c r="I44" s="432">
        <v>75</v>
      </c>
      <c r="J44" s="79"/>
      <c r="K44" s="26"/>
    </row>
    <row r="45" spans="1:11" s="197" customFormat="1" ht="4.5" customHeight="1">
      <c r="D45" s="433"/>
      <c r="E45" s="433"/>
      <c r="F45" s="433"/>
      <c r="G45" s="433"/>
      <c r="H45" s="433"/>
      <c r="I45" s="433"/>
      <c r="J45" s="338"/>
    </row>
    <row r="46" spans="1:11" s="197" customFormat="1" ht="12.75">
      <c r="B46" s="199"/>
      <c r="C46" s="199">
        <f t="shared" ref="C46:C54" si="3">+C11</f>
        <v>2011</v>
      </c>
      <c r="D46" s="417"/>
      <c r="E46" s="417"/>
      <c r="F46" s="417"/>
      <c r="G46" s="417"/>
      <c r="H46" s="417"/>
      <c r="I46" s="417">
        <v>104094.20963208308</v>
      </c>
      <c r="J46" s="75"/>
    </row>
    <row r="47" spans="1:11" s="197" customFormat="1" ht="12.75">
      <c r="B47" s="199"/>
      <c r="C47" s="199">
        <f t="shared" si="3"/>
        <v>2012</v>
      </c>
      <c r="D47" s="417"/>
      <c r="E47" s="417"/>
      <c r="F47" s="417"/>
      <c r="G47" s="417"/>
      <c r="H47" s="417">
        <v>105308.43947775295</v>
      </c>
      <c r="I47" s="417">
        <v>111792.27160281737</v>
      </c>
      <c r="J47" s="75"/>
    </row>
    <row r="48" spans="1:11" s="197" customFormat="1" ht="12.75">
      <c r="C48" s="199">
        <f t="shared" si="3"/>
        <v>2013</v>
      </c>
      <c r="D48" s="417"/>
      <c r="E48" s="417"/>
      <c r="F48" s="417"/>
      <c r="G48" s="417">
        <v>104691.3803790541</v>
      </c>
      <c r="H48" s="417">
        <v>114901.11285212281</v>
      </c>
      <c r="I48" s="417">
        <v>121142</v>
      </c>
      <c r="J48" s="75"/>
    </row>
    <row r="49" spans="1:11" s="197" customFormat="1" ht="12.75">
      <c r="C49" s="199">
        <f t="shared" si="3"/>
        <v>2014</v>
      </c>
      <c r="D49" s="417"/>
      <c r="E49" s="417"/>
      <c r="F49" s="417">
        <v>95260.294284708754</v>
      </c>
      <c r="G49" s="417">
        <v>111744.81544593677</v>
      </c>
      <c r="H49" s="417">
        <v>121808</v>
      </c>
      <c r="I49" s="417">
        <v>127800</v>
      </c>
      <c r="J49" s="75"/>
    </row>
    <row r="50" spans="1:11" s="197" customFormat="1" ht="13.15" customHeight="1">
      <c r="C50" s="199">
        <f t="shared" si="3"/>
        <v>2015</v>
      </c>
      <c r="D50" s="417"/>
      <c r="E50" s="417">
        <v>77962.835862576409</v>
      </c>
      <c r="F50" s="417">
        <v>102950.70696733307</v>
      </c>
      <c r="G50" s="417">
        <v>119252.00000000001</v>
      </c>
      <c r="H50" s="417">
        <v>128566</v>
      </c>
      <c r="I50" s="417"/>
      <c r="J50" s="75"/>
    </row>
    <row r="51" spans="1:11" s="197" customFormat="1" ht="13.15" customHeight="1">
      <c r="C51" s="199">
        <f t="shared" si="3"/>
        <v>2016</v>
      </c>
      <c r="D51" s="417">
        <v>46802.249835742441</v>
      </c>
      <c r="E51" s="417">
        <v>83512.537012702582</v>
      </c>
      <c r="F51" s="417">
        <v>109302</v>
      </c>
      <c r="G51" s="417">
        <v>124497</v>
      </c>
      <c r="H51" s="417"/>
      <c r="I51" s="417"/>
      <c r="J51" s="75"/>
    </row>
    <row r="52" spans="1:11" s="197" customFormat="1" ht="13.15" customHeight="1">
      <c r="C52" s="199">
        <f t="shared" si="3"/>
        <v>2017</v>
      </c>
      <c r="D52" s="417">
        <v>50699.166296916737</v>
      </c>
      <c r="E52" s="417">
        <v>88131</v>
      </c>
      <c r="F52" s="417">
        <v>112161</v>
      </c>
      <c r="G52" s="417"/>
      <c r="H52" s="417"/>
      <c r="I52" s="417"/>
      <c r="J52" s="75"/>
    </row>
    <row r="53" spans="1:11" s="197" customFormat="1" ht="12.75">
      <c r="C53" s="199">
        <f t="shared" si="3"/>
        <v>2018</v>
      </c>
      <c r="D53" s="417">
        <v>52569</v>
      </c>
      <c r="E53" s="417">
        <v>90050</v>
      </c>
      <c r="F53" s="417"/>
      <c r="G53" s="417"/>
      <c r="H53" s="417"/>
      <c r="I53" s="417"/>
      <c r="J53" s="75"/>
    </row>
    <row r="54" spans="1:11" s="197" customFormat="1" ht="12.75">
      <c r="C54" s="199">
        <f t="shared" si="3"/>
        <v>2019</v>
      </c>
      <c r="D54" s="417">
        <v>53895</v>
      </c>
      <c r="E54" s="417"/>
      <c r="F54" s="417"/>
      <c r="G54" s="417"/>
      <c r="H54" s="417"/>
      <c r="I54" s="417"/>
      <c r="J54" s="75"/>
    </row>
    <row r="55" spans="1:11" s="197" customFormat="1" ht="12.75">
      <c r="C55" s="199"/>
      <c r="J55" s="338"/>
    </row>
    <row r="56" spans="1:11" s="197" customFormat="1" ht="12.75">
      <c r="B56" s="342" t="s">
        <v>291</v>
      </c>
      <c r="C56" s="342"/>
      <c r="D56" s="342"/>
      <c r="E56" s="342"/>
      <c r="F56" s="342"/>
      <c r="G56" s="342"/>
      <c r="H56" s="342"/>
      <c r="I56" s="342"/>
      <c r="J56" s="338"/>
    </row>
    <row r="57" spans="1:11" ht="45" customHeight="1">
      <c r="A57" s="227"/>
      <c r="B57" s="227"/>
      <c r="C57" s="115"/>
      <c r="D57" s="232"/>
      <c r="E57" s="232"/>
      <c r="F57" s="233"/>
      <c r="G57" s="233"/>
      <c r="H57" s="233"/>
      <c r="I57" s="232"/>
      <c r="J57" s="232"/>
      <c r="K57" s="148" t="s">
        <v>391</v>
      </c>
    </row>
    <row r="58" spans="1:11" s="197" customFormat="1" ht="13.15">
      <c r="A58" s="279" t="s">
        <v>35</v>
      </c>
      <c r="B58" s="279"/>
      <c r="C58" s="279"/>
      <c r="D58" s="279"/>
      <c r="E58" s="279"/>
      <c r="F58" s="279"/>
      <c r="G58" s="279"/>
      <c r="H58" s="279"/>
      <c r="I58" s="279"/>
      <c r="J58" s="279"/>
      <c r="K58" s="279"/>
    </row>
    <row r="59" spans="1:11" s="197" customFormat="1" ht="13.15">
      <c r="A59" s="279" t="s">
        <v>262</v>
      </c>
      <c r="B59" s="279"/>
      <c r="C59" s="279"/>
      <c r="D59" s="279"/>
      <c r="E59" s="279"/>
      <c r="F59" s="279"/>
      <c r="G59" s="279"/>
      <c r="H59" s="279"/>
      <c r="I59" s="279"/>
      <c r="J59" s="279"/>
      <c r="K59" s="279"/>
    </row>
    <row r="60" spans="1:11" s="197" customFormat="1" ht="13.15">
      <c r="A60" s="279" t="s">
        <v>263</v>
      </c>
      <c r="B60" s="279"/>
      <c r="C60" s="279"/>
      <c r="D60" s="279"/>
      <c r="E60" s="279"/>
      <c r="F60" s="279"/>
      <c r="G60" s="279"/>
      <c r="H60" s="279"/>
      <c r="I60" s="279"/>
      <c r="J60" s="279"/>
      <c r="K60" s="279"/>
    </row>
    <row r="61" spans="1:11" s="197" customFormat="1" ht="13.15">
      <c r="A61" s="195"/>
      <c r="B61" s="195"/>
      <c r="C61" s="195"/>
      <c r="D61" s="195"/>
      <c r="E61" s="195"/>
      <c r="F61" s="195"/>
      <c r="G61" s="195"/>
      <c r="H61" s="195"/>
      <c r="I61" s="195"/>
      <c r="J61" s="340"/>
      <c r="K61" s="195"/>
    </row>
    <row r="62" spans="1:11" s="197" customFormat="1" ht="12.75">
      <c r="J62" s="338"/>
    </row>
    <row r="63" spans="1:11" s="197" customFormat="1" ht="12.75">
      <c r="A63" s="239"/>
      <c r="B63" s="239" t="s">
        <v>312</v>
      </c>
      <c r="C63" s="239"/>
      <c r="D63" s="239"/>
      <c r="E63" s="239"/>
      <c r="F63" s="239"/>
      <c r="G63" s="239"/>
      <c r="H63" s="239"/>
      <c r="I63" s="239"/>
      <c r="J63" s="337"/>
    </row>
    <row r="64" spans="1:11" s="197" customFormat="1" ht="12.75">
      <c r="J64" s="338"/>
    </row>
    <row r="65" spans="1:11" s="197" customFormat="1" ht="12.75">
      <c r="C65" s="199" t="s">
        <v>203</v>
      </c>
      <c r="D65" s="533"/>
      <c r="E65" s="533"/>
      <c r="F65" s="533"/>
      <c r="G65" s="533"/>
      <c r="H65" s="533"/>
      <c r="I65" s="533"/>
      <c r="J65" s="341"/>
    </row>
    <row r="66" spans="1:11" s="197" customFormat="1" ht="12.75">
      <c r="C66" s="26" t="s">
        <v>8</v>
      </c>
      <c r="D66" s="79">
        <f t="shared" ref="D66:I66" si="4">D44</f>
        <v>15</v>
      </c>
      <c r="E66" s="79">
        <f t="shared" si="4"/>
        <v>27</v>
      </c>
      <c r="F66" s="79">
        <f t="shared" si="4"/>
        <v>39</v>
      </c>
      <c r="G66" s="79">
        <f t="shared" si="4"/>
        <v>51</v>
      </c>
      <c r="H66" s="79">
        <f t="shared" si="4"/>
        <v>63</v>
      </c>
      <c r="I66" s="79">
        <f t="shared" si="4"/>
        <v>75</v>
      </c>
      <c r="J66" s="79"/>
      <c r="K66" s="26"/>
    </row>
    <row r="67" spans="1:11" s="197" customFormat="1" ht="4.5" customHeight="1">
      <c r="J67" s="338"/>
    </row>
    <row r="68" spans="1:11" s="197" customFormat="1" ht="12.75">
      <c r="C68" s="199">
        <f t="shared" ref="C68:C76" si="5">C46</f>
        <v>2011</v>
      </c>
      <c r="D68" s="146"/>
      <c r="E68" s="146"/>
      <c r="F68" s="146"/>
      <c r="G68" s="333"/>
      <c r="H68" s="333"/>
      <c r="I68" s="333">
        <v>0.87746372433185238</v>
      </c>
      <c r="J68" s="146"/>
      <c r="K68" s="146"/>
    </row>
    <row r="69" spans="1:11" s="197" customFormat="1" ht="12.75">
      <c r="C69" s="199">
        <f t="shared" si="5"/>
        <v>2012</v>
      </c>
      <c r="D69" s="146"/>
      <c r="E69" s="146"/>
      <c r="F69" s="146"/>
      <c r="G69" s="333"/>
      <c r="H69" s="333">
        <v>0.83831632142933088</v>
      </c>
      <c r="I69" s="333">
        <v>0.88993138972589991</v>
      </c>
      <c r="J69" s="146"/>
      <c r="K69" s="146"/>
    </row>
    <row r="70" spans="1:11" s="197" customFormat="1" ht="12.75">
      <c r="C70" s="199">
        <f t="shared" si="5"/>
        <v>2013</v>
      </c>
      <c r="D70" s="146"/>
      <c r="E70" s="146"/>
      <c r="F70" s="146"/>
      <c r="G70" s="333">
        <v>0.78058603120173775</v>
      </c>
      <c r="H70" s="333">
        <v>0.85671048884026468</v>
      </c>
      <c r="I70" s="333">
        <v>0.90324296660778536</v>
      </c>
      <c r="J70" s="146"/>
      <c r="K70" s="146"/>
    </row>
    <row r="71" spans="1:11" s="197" customFormat="1" ht="12.75">
      <c r="C71" s="199">
        <f t="shared" si="5"/>
        <v>2014</v>
      </c>
      <c r="D71" s="146"/>
      <c r="E71" s="146"/>
      <c r="F71" s="146">
        <f t="shared" ref="F71:F74" si="6">F49/HLOOKUP($C71,$D$38:$I$39,2,FALSE)</f>
        <v>0.67938868730628921</v>
      </c>
      <c r="G71" s="146">
        <f t="shared" ref="G71:G73" si="7">G49/HLOOKUP($C71,$D$38:$I$39,2,FALSE)</f>
        <v>0.79695495430864904</v>
      </c>
      <c r="H71" s="146">
        <f>H49/HLOOKUP($C71,$D$38:$I$39,2,FALSE)</f>
        <v>0.8687247697983268</v>
      </c>
      <c r="I71" s="146">
        <f>I49/HLOOKUP($C71,$D$38:$I$39,2,FALSE)</f>
        <v>0.91145922747460073</v>
      </c>
      <c r="J71" s="146"/>
    </row>
    <row r="72" spans="1:11" s="197" customFormat="1" ht="12.75">
      <c r="C72" s="199">
        <f t="shared" si="5"/>
        <v>2015</v>
      </c>
      <c r="D72" s="146"/>
      <c r="E72" s="146">
        <f t="shared" ref="E72:E75" si="8">E50/HLOOKUP($C72,$D$38:$I$39,2,FALSE)</f>
        <v>0.53606612145511623</v>
      </c>
      <c r="F72" s="146">
        <f t="shared" si="6"/>
        <v>0.70788069179935886</v>
      </c>
      <c r="G72" s="146">
        <f t="shared" si="7"/>
        <v>0.81996705748939602</v>
      </c>
      <c r="H72" s="146">
        <f>H50/HLOOKUP($C72,$D$38:$I$39,2,FALSE)</f>
        <v>0.88400936431407162</v>
      </c>
      <c r="I72" s="146"/>
      <c r="J72" s="146"/>
    </row>
    <row r="73" spans="1:11" s="197" customFormat="1" ht="12.75">
      <c r="C73" s="199">
        <f t="shared" si="5"/>
        <v>2016</v>
      </c>
      <c r="D73" s="146">
        <f t="shared" ref="D73:D76" si="9">D51/HLOOKUP($C73,$D$38:$I$39,2,FALSE)</f>
        <v>0.31427305026184177</v>
      </c>
      <c r="E73" s="146">
        <f t="shared" si="8"/>
        <v>0.56077944616336317</v>
      </c>
      <c r="F73" s="146">
        <f t="shared" si="6"/>
        <v>0.73395345438044612</v>
      </c>
      <c r="G73" s="146">
        <f t="shared" si="7"/>
        <v>0.83598656209403666</v>
      </c>
      <c r="H73" s="146"/>
      <c r="I73" s="146"/>
      <c r="J73" s="146"/>
    </row>
    <row r="74" spans="1:11" s="197" customFormat="1" ht="12.75">
      <c r="C74" s="199">
        <f t="shared" si="5"/>
        <v>2017</v>
      </c>
      <c r="D74" s="146">
        <f t="shared" si="9"/>
        <v>0.33925232926983551</v>
      </c>
      <c r="E74" s="146">
        <f t="shared" si="8"/>
        <v>0.58972660133660137</v>
      </c>
      <c r="F74" s="146">
        <f t="shared" si="6"/>
        <v>0.75052280505740931</v>
      </c>
      <c r="G74" s="146"/>
      <c r="H74" s="146"/>
      <c r="I74" s="146"/>
      <c r="J74" s="146"/>
    </row>
    <row r="75" spans="1:11" s="197" customFormat="1" ht="12.75">
      <c r="C75" s="199">
        <f t="shared" si="5"/>
        <v>2018</v>
      </c>
      <c r="D75" s="146">
        <f t="shared" si="9"/>
        <v>0.34424846682982119</v>
      </c>
      <c r="E75" s="146">
        <f t="shared" si="8"/>
        <v>0.58969305937007355</v>
      </c>
      <c r="F75" s="146"/>
      <c r="G75" s="146"/>
      <c r="H75" s="146"/>
      <c r="I75" s="146"/>
      <c r="J75" s="146"/>
    </row>
    <row r="76" spans="1:11" s="197" customFormat="1" ht="12.75">
      <c r="C76" s="199">
        <f t="shared" si="5"/>
        <v>2019</v>
      </c>
      <c r="D76" s="146">
        <f t="shared" si="9"/>
        <v>0.34462050846064229</v>
      </c>
      <c r="E76" s="146"/>
      <c r="F76" s="146"/>
      <c r="G76" s="146"/>
      <c r="H76" s="146"/>
      <c r="I76" s="146"/>
      <c r="J76" s="146"/>
    </row>
    <row r="77" spans="1:11" s="197" customFormat="1" ht="12.75">
      <c r="C77" s="199"/>
      <c r="E77" s="146"/>
      <c r="F77" s="146"/>
      <c r="G77" s="146"/>
      <c r="H77" s="146"/>
      <c r="I77" s="146"/>
      <c r="J77" s="146"/>
    </row>
    <row r="78" spans="1:11" s="197" customFormat="1" ht="12.75">
      <c r="A78" s="239"/>
      <c r="B78" s="239" t="s">
        <v>313</v>
      </c>
      <c r="C78" s="239"/>
      <c r="D78" s="239"/>
      <c r="E78" s="239"/>
      <c r="F78" s="239"/>
      <c r="G78" s="239"/>
      <c r="H78" s="239"/>
      <c r="I78" s="239"/>
      <c r="J78" s="239"/>
      <c r="K78" s="239"/>
    </row>
    <row r="79" spans="1:11" s="197" customFormat="1" ht="12.75">
      <c r="J79" s="338"/>
    </row>
    <row r="80" spans="1:11" s="197" customFormat="1" ht="12.75">
      <c r="C80" s="199" t="s">
        <v>203</v>
      </c>
      <c r="D80" s="533"/>
      <c r="E80" s="533"/>
      <c r="F80" s="533"/>
      <c r="G80" s="533"/>
      <c r="H80" s="533"/>
      <c r="I80" s="533"/>
      <c r="J80" s="341"/>
    </row>
    <row r="81" spans="1:10" s="197" customFormat="1" ht="12.75">
      <c r="C81" s="26" t="s">
        <v>8</v>
      </c>
      <c r="D81" s="79">
        <f t="shared" ref="D81:I81" si="10">+D66</f>
        <v>15</v>
      </c>
      <c r="E81" s="79">
        <f t="shared" si="10"/>
        <v>27</v>
      </c>
      <c r="F81" s="79">
        <f t="shared" si="10"/>
        <v>39</v>
      </c>
      <c r="G81" s="79">
        <f t="shared" si="10"/>
        <v>51</v>
      </c>
      <c r="H81" s="79">
        <f t="shared" si="10"/>
        <v>63</v>
      </c>
      <c r="I81" s="79">
        <f t="shared" si="10"/>
        <v>75</v>
      </c>
      <c r="J81" s="79"/>
    </row>
    <row r="82" spans="1:10" s="197" customFormat="1" ht="4.5" customHeight="1">
      <c r="J82" s="338"/>
    </row>
    <row r="83" spans="1:10" s="197" customFormat="1" ht="12.75">
      <c r="C83" s="199">
        <f t="shared" ref="C83:C91" si="11">+C68</f>
        <v>2011</v>
      </c>
      <c r="D83" s="147"/>
      <c r="E83" s="147"/>
      <c r="F83" s="147"/>
      <c r="G83" s="419"/>
      <c r="H83" s="419"/>
      <c r="I83" s="419">
        <v>108127.12282559881</v>
      </c>
      <c r="J83" s="147"/>
    </row>
    <row r="84" spans="1:10" s="197" customFormat="1" ht="12.75">
      <c r="C84" s="199">
        <f t="shared" si="11"/>
        <v>2012</v>
      </c>
      <c r="D84" s="147"/>
      <c r="E84" s="147"/>
      <c r="F84" s="147"/>
      <c r="G84" s="419"/>
      <c r="H84" s="419">
        <v>111048.35282332382</v>
      </c>
      <c r="I84" s="419">
        <v>114496.57657779461</v>
      </c>
      <c r="J84" s="147"/>
    </row>
    <row r="85" spans="1:10" s="197" customFormat="1" ht="12.75">
      <c r="C85" s="199">
        <f t="shared" si="11"/>
        <v>2013</v>
      </c>
      <c r="D85" s="147"/>
      <c r="E85" s="147"/>
      <c r="F85" s="147"/>
      <c r="G85" s="419">
        <v>112121.64151749386</v>
      </c>
      <c r="H85" s="419">
        <v>118562.40941894561</v>
      </c>
      <c r="I85" s="419">
        <v>122243.95629606264</v>
      </c>
      <c r="J85" s="147"/>
    </row>
    <row r="86" spans="1:10" s="197" customFormat="1" ht="12.75">
      <c r="C86" s="199">
        <f t="shared" si="11"/>
        <v>2014</v>
      </c>
      <c r="D86" s="147"/>
      <c r="E86" s="147"/>
      <c r="F86" s="147">
        <f t="shared" ref="F86:F89" si="12">HLOOKUP($C86,$D$38:$I$39,2,FALSE)*F$74</f>
        <v>105234.34465861479</v>
      </c>
      <c r="G86" s="147">
        <f t="shared" ref="G86:G88" si="13">HLOOKUP($C86,$D$38:$I$39,2,FALSE)*G$73</f>
        <v>117217.62138679443</v>
      </c>
      <c r="H86" s="147">
        <f>HLOOKUP($C86,$D$38:$I$39,2,FALSE)*H$72</f>
        <v>123951.1251341044</v>
      </c>
      <c r="I86" s="147">
        <f>HLOOKUP($C86,$D$38:$I$39,2,FALSE)*I$71</f>
        <v>127800</v>
      </c>
      <c r="J86" s="147"/>
    </row>
    <row r="87" spans="1:10" s="197" customFormat="1" ht="12.75">
      <c r="C87" s="199">
        <f t="shared" si="11"/>
        <v>2015</v>
      </c>
      <c r="D87" s="147"/>
      <c r="E87" s="147">
        <f t="shared" ref="E87:E90" si="14">HLOOKUP($C87,$D$38:$I$39,2,FALSE)*E$75</f>
        <v>85762.075529368987</v>
      </c>
      <c r="F87" s="147">
        <f t="shared" si="12"/>
        <v>109152.36744113179</v>
      </c>
      <c r="G87" s="147">
        <f t="shared" si="13"/>
        <v>121581.798429905</v>
      </c>
      <c r="H87" s="147">
        <f>HLOOKUP($C87,$D$38:$I$39,2,FALSE)*H$72</f>
        <v>128566</v>
      </c>
      <c r="I87" s="147"/>
      <c r="J87" s="147"/>
    </row>
    <row r="88" spans="1:10" s="197" customFormat="1" ht="12.75">
      <c r="C88" s="199">
        <f t="shared" si="11"/>
        <v>2016</v>
      </c>
      <c r="D88" s="147">
        <f t="shared" ref="D88" si="15">HLOOKUP($C88,$D$38:$I$39,2,FALSE)*D$76</f>
        <v>51321.661599864885</v>
      </c>
      <c r="E88" s="147">
        <f t="shared" si="14"/>
        <v>87818.417354103221</v>
      </c>
      <c r="F88" s="147">
        <f t="shared" si="12"/>
        <v>111769.54498787966</v>
      </c>
      <c r="G88" s="147">
        <f t="shared" si="13"/>
        <v>124496.99999999999</v>
      </c>
      <c r="H88" s="147"/>
      <c r="I88" s="147"/>
      <c r="J88" s="147"/>
    </row>
    <row r="89" spans="1:10" s="197" customFormat="1" ht="12.75">
      <c r="C89" s="199">
        <f t="shared" si="11"/>
        <v>2017</v>
      </c>
      <c r="D89" s="147">
        <f t="shared" ref="D89:D90" si="16">HLOOKUP($C89,$D$38:$I$39,2,FALSE)*D$76</f>
        <v>51501.407537506391</v>
      </c>
      <c r="E89" s="147">
        <f t="shared" si="14"/>
        <v>88125.987360167637</v>
      </c>
      <c r="F89" s="147">
        <f t="shared" si="12"/>
        <v>112161</v>
      </c>
      <c r="G89" s="147"/>
      <c r="H89" s="147"/>
      <c r="I89" s="147"/>
      <c r="J89" s="147"/>
    </row>
    <row r="90" spans="1:10" s="197" customFormat="1" ht="12.75">
      <c r="C90" s="199">
        <f t="shared" si="11"/>
        <v>2018</v>
      </c>
      <c r="D90" s="147">
        <f t="shared" si="16"/>
        <v>52625.813198532865</v>
      </c>
      <c r="E90" s="147">
        <f t="shared" si="14"/>
        <v>90050</v>
      </c>
      <c r="F90" s="147"/>
      <c r="G90" s="147"/>
      <c r="H90" s="147"/>
      <c r="I90" s="147"/>
      <c r="J90" s="147"/>
    </row>
    <row r="91" spans="1:10" s="197" customFormat="1" ht="12.75">
      <c r="C91" s="199">
        <f t="shared" si="11"/>
        <v>2019</v>
      </c>
      <c r="D91" s="147">
        <f>HLOOKUP($C91,$D$38:$I$39,2,FALSE)*D$76</f>
        <v>53895</v>
      </c>
      <c r="E91" s="147"/>
      <c r="F91" s="147"/>
      <c r="G91" s="147"/>
      <c r="H91" s="147"/>
      <c r="I91" s="147"/>
      <c r="J91" s="147"/>
    </row>
    <row r="92" spans="1:10" s="197" customFormat="1" ht="12.75">
      <c r="C92" s="199"/>
      <c r="E92" s="147"/>
      <c r="F92" s="147"/>
      <c r="G92" s="147"/>
      <c r="H92" s="147"/>
      <c r="I92" s="147"/>
      <c r="J92" s="147"/>
    </row>
    <row r="93" spans="1:10" s="197" customFormat="1" ht="12.75">
      <c r="A93" s="239"/>
      <c r="B93" s="239" t="s">
        <v>288</v>
      </c>
      <c r="C93" s="239"/>
      <c r="D93" s="239"/>
      <c r="E93" s="239"/>
      <c r="F93" s="239"/>
      <c r="G93" s="239"/>
      <c r="H93" s="239"/>
      <c r="I93" s="239"/>
      <c r="J93" s="337"/>
    </row>
    <row r="94" spans="1:10" s="197" customFormat="1" ht="12.75">
      <c r="J94" s="338"/>
    </row>
    <row r="95" spans="1:10" s="197" customFormat="1" ht="12.75">
      <c r="C95" s="199" t="s">
        <v>203</v>
      </c>
      <c r="D95" s="533"/>
      <c r="E95" s="533"/>
      <c r="F95" s="533"/>
      <c r="G95" s="533"/>
      <c r="H95" s="533"/>
      <c r="I95" s="533"/>
      <c r="J95" s="341"/>
    </row>
    <row r="96" spans="1:10" s="197" customFormat="1" ht="12.75">
      <c r="C96" s="26" t="s">
        <v>8</v>
      </c>
      <c r="D96" s="432">
        <v>15</v>
      </c>
      <c r="E96" s="432">
        <v>27</v>
      </c>
      <c r="F96" s="432">
        <v>39</v>
      </c>
      <c r="G96" s="432">
        <v>51</v>
      </c>
      <c r="H96" s="432">
        <v>63</v>
      </c>
      <c r="I96" s="432">
        <v>75</v>
      </c>
      <c r="J96" s="79"/>
    </row>
    <row r="97" spans="1:11" s="197" customFormat="1" ht="4.5" customHeight="1">
      <c r="D97" s="433"/>
      <c r="E97" s="433"/>
      <c r="F97" s="433"/>
      <c r="G97" s="433"/>
      <c r="H97" s="433"/>
      <c r="I97" s="433"/>
      <c r="J97" s="338"/>
    </row>
    <row r="98" spans="1:11" s="197" customFormat="1" ht="12.75">
      <c r="C98" s="199">
        <f t="shared" ref="C98:C106" si="17">+C68</f>
        <v>2011</v>
      </c>
      <c r="D98" s="419"/>
      <c r="E98" s="419"/>
      <c r="F98" s="419"/>
      <c r="G98" s="419"/>
      <c r="H98" s="419"/>
      <c r="I98" s="419">
        <v>20749.707230069111</v>
      </c>
      <c r="J98" s="147"/>
    </row>
    <row r="99" spans="1:11" s="197" customFormat="1" ht="12.75">
      <c r="C99" s="199">
        <f t="shared" si="17"/>
        <v>2012</v>
      </c>
      <c r="D99" s="419"/>
      <c r="E99" s="419"/>
      <c r="F99" s="419"/>
      <c r="G99" s="419"/>
      <c r="H99" s="419">
        <v>17544.93553157588</v>
      </c>
      <c r="I99" s="419">
        <v>19756.061328433629</v>
      </c>
      <c r="J99" s="147"/>
    </row>
    <row r="100" spans="1:11" s="197" customFormat="1" ht="12.75">
      <c r="C100" s="199">
        <f t="shared" si="17"/>
        <v>2013</v>
      </c>
      <c r="D100" s="419"/>
      <c r="E100" s="419"/>
      <c r="F100" s="419"/>
      <c r="G100" s="419">
        <v>14304.165794869152</v>
      </c>
      <c r="H100" s="419">
        <v>16972.645577628475</v>
      </c>
      <c r="I100" s="419">
        <v>18827.778598669331</v>
      </c>
      <c r="J100" s="147"/>
    </row>
    <row r="101" spans="1:11" s="197" customFormat="1" ht="12.75">
      <c r="C101" s="199">
        <f t="shared" si="17"/>
        <v>2014</v>
      </c>
      <c r="D101" s="419"/>
      <c r="E101" s="419"/>
      <c r="F101" s="419">
        <v>10970.651051232158</v>
      </c>
      <c r="G101" s="419">
        <v>14384.022482322758</v>
      </c>
      <c r="H101" s="419">
        <v>16831.086866215683</v>
      </c>
      <c r="I101" s="419">
        <v>18479.522535211268</v>
      </c>
      <c r="J101" s="147"/>
    </row>
    <row r="102" spans="1:11" s="197" customFormat="1" ht="12.75">
      <c r="C102" s="199">
        <f t="shared" si="17"/>
        <v>2015</v>
      </c>
      <c r="D102" s="419"/>
      <c r="E102" s="419">
        <v>7263.396036305965</v>
      </c>
      <c r="F102" s="419">
        <v>11333.047903515229</v>
      </c>
      <c r="G102" s="419">
        <v>14565.861327273338</v>
      </c>
      <c r="H102" s="419">
        <v>16560.952771339234</v>
      </c>
      <c r="I102" s="419"/>
      <c r="J102" s="147"/>
    </row>
    <row r="103" spans="1:11" s="197" customFormat="1" ht="12.75">
      <c r="C103" s="199">
        <f t="shared" si="17"/>
        <v>2016</v>
      </c>
      <c r="D103" s="419">
        <v>3462.0984292081162</v>
      </c>
      <c r="E103" s="419">
        <v>7488.5583557602477</v>
      </c>
      <c r="F103" s="419">
        <v>11315.322537556494</v>
      </c>
      <c r="G103" s="419">
        <v>14058.739037888463</v>
      </c>
      <c r="H103" s="419"/>
      <c r="I103" s="419"/>
      <c r="J103" s="147"/>
    </row>
    <row r="104" spans="1:11" s="197" customFormat="1" ht="12.75">
      <c r="C104" s="199">
        <f t="shared" si="17"/>
        <v>2017</v>
      </c>
      <c r="D104" s="419">
        <v>3565.2256883446876</v>
      </c>
      <c r="E104" s="419">
        <v>7704.4323109915922</v>
      </c>
      <c r="F104" s="419">
        <v>11398.269728336943</v>
      </c>
      <c r="G104" s="419"/>
      <c r="H104" s="419"/>
      <c r="I104" s="419"/>
      <c r="J104" s="147"/>
    </row>
    <row r="105" spans="1:11" s="197" customFormat="1" ht="12.75">
      <c r="C105" s="199">
        <f t="shared" si="17"/>
        <v>2018</v>
      </c>
      <c r="D105" s="419">
        <v>3665.3244307481596</v>
      </c>
      <c r="E105" s="419">
        <v>7987.5344919489171</v>
      </c>
      <c r="F105" s="419"/>
      <c r="G105" s="419"/>
      <c r="H105" s="419"/>
      <c r="I105" s="419"/>
      <c r="J105" s="147"/>
    </row>
    <row r="106" spans="1:11" s="197" customFormat="1" ht="12.75">
      <c r="C106" s="199">
        <f t="shared" si="17"/>
        <v>2019</v>
      </c>
      <c r="D106" s="419">
        <v>3912.0020781148528</v>
      </c>
      <c r="E106" s="419"/>
      <c r="F106" s="419"/>
      <c r="G106" s="419"/>
      <c r="H106" s="419"/>
      <c r="I106" s="419"/>
      <c r="J106" s="147"/>
    </row>
    <row r="107" spans="1:11" s="197" customFormat="1" ht="12.75">
      <c r="E107" s="147"/>
      <c r="F107" s="147"/>
      <c r="G107" s="147"/>
      <c r="H107" s="147"/>
      <c r="I107" s="147"/>
      <c r="J107" s="147"/>
    </row>
    <row r="108" spans="1:11" s="197" customFormat="1" ht="25.5" customHeight="1">
      <c r="A108" s="148" t="s">
        <v>22</v>
      </c>
      <c r="B108" s="534" t="s">
        <v>271</v>
      </c>
      <c r="C108" s="534"/>
      <c r="D108" s="534"/>
      <c r="E108" s="534"/>
      <c r="F108" s="534"/>
      <c r="G108" s="534"/>
      <c r="H108" s="534"/>
      <c r="I108" s="534"/>
      <c r="J108" s="534"/>
      <c r="K108" s="193"/>
    </row>
    <row r="109" spans="1:11" s="197" customFormat="1" ht="39.950000000000003" customHeight="1">
      <c r="A109" s="148" t="s">
        <v>28</v>
      </c>
      <c r="B109" s="534" t="s">
        <v>272</v>
      </c>
      <c r="C109" s="534"/>
      <c r="D109" s="534"/>
      <c r="E109" s="534"/>
      <c r="F109" s="534"/>
      <c r="G109" s="534"/>
      <c r="H109" s="534"/>
      <c r="I109" s="534"/>
      <c r="J109" s="534"/>
      <c r="K109" s="193"/>
    </row>
    <row r="110" spans="1:11" s="197" customFormat="1" ht="12.75">
      <c r="J110" s="338"/>
    </row>
    <row r="111" spans="1:11" s="197" customFormat="1" ht="12.75">
      <c r="B111" s="342" t="s">
        <v>291</v>
      </c>
      <c r="C111" s="342"/>
      <c r="D111" s="342"/>
      <c r="E111" s="342"/>
      <c r="F111" s="342"/>
      <c r="G111" s="342"/>
      <c r="H111" s="342"/>
      <c r="I111" s="342"/>
      <c r="J111" s="342"/>
      <c r="K111" s="342"/>
    </row>
    <row r="112" spans="1:11" ht="45" customHeight="1">
      <c r="A112" s="234"/>
      <c r="B112" s="229"/>
      <c r="C112" s="229"/>
      <c r="D112" s="229"/>
      <c r="E112" s="229"/>
      <c r="F112" s="229"/>
      <c r="G112" s="229"/>
      <c r="H112" s="229"/>
      <c r="I112" s="229"/>
      <c r="J112" s="229"/>
      <c r="K112" s="148" t="s">
        <v>392</v>
      </c>
    </row>
    <row r="113" spans="1:11" s="197" customFormat="1" ht="13.15">
      <c r="A113" s="279" t="s">
        <v>35</v>
      </c>
      <c r="B113" s="279"/>
      <c r="C113" s="279"/>
      <c r="D113" s="279"/>
      <c r="E113" s="279"/>
      <c r="F113" s="279"/>
      <c r="G113" s="279"/>
      <c r="H113" s="279"/>
      <c r="I113" s="279"/>
      <c r="J113" s="279"/>
      <c r="K113" s="279"/>
    </row>
    <row r="114" spans="1:11" s="197" customFormat="1" ht="13.15">
      <c r="A114" s="279" t="s">
        <v>262</v>
      </c>
      <c r="B114" s="279"/>
      <c r="C114" s="279"/>
      <c r="D114" s="279"/>
      <c r="E114" s="279"/>
      <c r="F114" s="279"/>
      <c r="G114" s="279"/>
      <c r="H114" s="279"/>
      <c r="I114" s="279"/>
      <c r="J114" s="279"/>
      <c r="K114" s="279"/>
    </row>
    <row r="115" spans="1:11" s="197" customFormat="1" ht="13.15">
      <c r="A115" s="279" t="s">
        <v>263</v>
      </c>
      <c r="B115" s="279"/>
      <c r="C115" s="279"/>
      <c r="D115" s="279"/>
      <c r="E115" s="279"/>
      <c r="F115" s="279"/>
      <c r="G115" s="279"/>
      <c r="H115" s="279"/>
      <c r="I115" s="279"/>
      <c r="J115" s="279"/>
      <c r="K115" s="279"/>
    </row>
    <row r="116" spans="1:11" s="197" customFormat="1" ht="13.15">
      <c r="A116" s="195"/>
      <c r="B116" s="195"/>
      <c r="C116" s="195"/>
      <c r="D116" s="195"/>
      <c r="E116" s="195"/>
      <c r="F116" s="195"/>
      <c r="G116" s="195"/>
      <c r="H116" s="195"/>
      <c r="I116" s="195"/>
      <c r="J116" s="340"/>
      <c r="K116" s="195"/>
    </row>
    <row r="117" spans="1:11" s="197" customFormat="1" ht="12.75">
      <c r="J117" s="338"/>
    </row>
    <row r="118" spans="1:11" s="197" customFormat="1" ht="12.75">
      <c r="A118" s="239"/>
      <c r="B118" s="239" t="s">
        <v>322</v>
      </c>
      <c r="C118" s="239"/>
      <c r="D118" s="239"/>
      <c r="E118" s="239"/>
      <c r="F118" s="239"/>
      <c r="G118" s="239"/>
      <c r="H118" s="239"/>
      <c r="I118" s="239"/>
      <c r="J118" s="337"/>
    </row>
    <row r="119" spans="1:11" s="197" customFormat="1" ht="12.75">
      <c r="J119" s="338"/>
    </row>
    <row r="120" spans="1:11" s="197" customFormat="1" ht="12.75">
      <c r="C120" s="199" t="s">
        <v>203</v>
      </c>
      <c r="D120" s="533"/>
      <c r="E120" s="533"/>
      <c r="F120" s="533"/>
      <c r="G120" s="533"/>
      <c r="H120" s="533"/>
      <c r="I120" s="533"/>
      <c r="J120" s="341"/>
    </row>
    <row r="121" spans="1:11" s="197" customFormat="1" ht="12.75">
      <c r="C121" s="26" t="s">
        <v>8</v>
      </c>
      <c r="D121" s="79">
        <f t="shared" ref="D121:I121" si="18">D96</f>
        <v>15</v>
      </c>
      <c r="E121" s="79">
        <f t="shared" si="18"/>
        <v>27</v>
      </c>
      <c r="F121" s="79">
        <f t="shared" si="18"/>
        <v>39</v>
      </c>
      <c r="G121" s="79">
        <f t="shared" si="18"/>
        <v>51</v>
      </c>
      <c r="H121" s="79">
        <f t="shared" si="18"/>
        <v>63</v>
      </c>
      <c r="I121" s="79">
        <f t="shared" si="18"/>
        <v>75</v>
      </c>
      <c r="J121" s="79"/>
    </row>
    <row r="122" spans="1:11" s="197" customFormat="1" ht="4.5" customHeight="1">
      <c r="J122" s="338"/>
    </row>
    <row r="123" spans="1:11" s="197" customFormat="1" ht="12.75">
      <c r="C123" s="199">
        <f t="shared" ref="C123:C131" si="19">C98</f>
        <v>2011</v>
      </c>
      <c r="D123" s="147"/>
      <c r="E123" s="147"/>
      <c r="F123" s="147"/>
      <c r="G123" s="147"/>
      <c r="H123" s="147"/>
      <c r="I123" s="419">
        <v>22671.9022543473</v>
      </c>
      <c r="J123" s="147"/>
    </row>
    <row r="124" spans="1:11" s="197" customFormat="1" ht="12.75">
      <c r="C124" s="199">
        <f t="shared" si="19"/>
        <v>2012</v>
      </c>
      <c r="D124" s="147"/>
      <c r="E124" s="147"/>
      <c r="F124" s="147"/>
      <c r="G124" s="147"/>
      <c r="H124" s="147">
        <f>+IF(H84&lt;H47,INDEX(LOGEST(H99:H99,H47),2)*EXP((INDEX(LOGEST(H99:H99,H47),1)-1)*H84),INDEX(LOGEST(H99:I99,H47:I47),2)*EXP((INDEX(LOGEST(H99:I99,H47:I47),1)-1)*H84))</f>
        <v>19489.201634695059</v>
      </c>
      <c r="I124" s="419">
        <v>20775.843325041216</v>
      </c>
      <c r="J124" s="147"/>
    </row>
    <row r="125" spans="1:11" s="197" customFormat="1" ht="12.75">
      <c r="C125" s="199">
        <f t="shared" si="19"/>
        <v>2013</v>
      </c>
      <c r="D125" s="147"/>
      <c r="E125" s="147"/>
      <c r="F125" s="147"/>
      <c r="G125" s="147">
        <f>+IF(G85&lt;G48,INDEX(LOGEST(G100:G100,G48),2)*EXP((INDEX(LOGEST(G100:G100,G48),1)-1)*G85),INDEX(LOGEST(G100:H100,G48:H48),2)*EXP((INDEX(LOGEST(G100:H100,G48:H48),1)-1)*G85))</f>
        <v>16200.658686175573</v>
      </c>
      <c r="H125" s="147">
        <f>+IF(H85&lt;H48,INDEX(LOGEST(H100:H100,H48),2)*EXP((INDEX(LOGEST(H100:H100,H48),1)-1)*H85),INDEX(LOGEST(H100:I100,H48:I48),2)*EXP((INDEX(LOGEST(H100:I100,H48:I48),1)-1)*H85))</f>
        <v>18037.882187859279</v>
      </c>
      <c r="I125" s="419">
        <v>19155.585105275488</v>
      </c>
      <c r="J125" s="147"/>
    </row>
    <row r="126" spans="1:11" s="197" customFormat="1" ht="12.75">
      <c r="C126" s="199">
        <f t="shared" si="19"/>
        <v>2014</v>
      </c>
      <c r="D126" s="147"/>
      <c r="E126" s="147"/>
      <c r="F126" s="147">
        <f>+IF(F86&lt;F49,INDEX(LOGEST(F101:F101,F49),2)*EXP((INDEX(LOGEST(F101:F101,F49),1)-1)*F86),INDEX(LOGEST(F101:G101,F49:G49),2)*EXP((INDEX(LOGEST(F101:G101,F49:G49),1)-1)*F86))</f>
        <v>12924.748889657485</v>
      </c>
      <c r="G126" s="147">
        <f>+IF(G86&lt;G49,INDEX(LOGEST(G101:G101,G49),2)*EXP((INDEX(LOGEST(G101:G101,G49),1)-1)*G86),INDEX(LOGEST(G101:H101,G49:H49),2)*EXP((INDEX(LOGEST(G101:H101,G49:H49),1)-1)*G86))</f>
        <v>15667.295688541644</v>
      </c>
      <c r="H126" s="147">
        <f>+IF(H86&lt;H49,INDEX(LOGEST(H101:H101,H49),2)*EXP((INDEX(LOGEST(H101:H101,H49),1)-1)*H86),INDEX(LOGEST(H101:I101,H49:I49),2)*EXP((INDEX(LOGEST(H101:I101,H49:I49),1)-1)*H86))</f>
        <v>17403.32463868961</v>
      </c>
      <c r="I126" s="147">
        <f>I101</f>
        <v>18479.522535211268</v>
      </c>
      <c r="J126" s="147"/>
    </row>
    <row r="127" spans="1:11" s="197" customFormat="1" ht="12.75">
      <c r="C127" s="199">
        <f t="shared" si="19"/>
        <v>2015</v>
      </c>
      <c r="D127" s="147"/>
      <c r="E127" s="147">
        <f>+IF(E87&lt;E50,INDEX(LOGEST(E102:E102,E50),2)*EXP((INDEX(LOGEST(E102:E102,E50),1)-1)*E87),INDEX(LOGEST(E102:F102,E50:F50),2)*EXP((INDEX(LOGEST(E102:F102,E50:F50),1)-1)*E87))</f>
        <v>8345.4467880111042</v>
      </c>
      <c r="F127" s="147">
        <f>+IF(F87&lt;F50,INDEX(LOGEST(F102:F102,F50),2)*EXP((INDEX(LOGEST(F102:F102,F50),1)-1)*F87),INDEX(LOGEST(F102:G102,F50:G50),2)*EXP((INDEX(LOGEST(F102:G102,F50:G50),1)-1)*F87))</f>
        <v>12468.558980894877</v>
      </c>
      <c r="G127" s="147">
        <f>+IF(G87&lt;G50,INDEX(LOGEST(G102:G102,G50),2)*EXP((INDEX(LOGEST(G102:G102,G50),1)-1)*G87),INDEX(LOGEST(G102:H102,G50:H50),2)*EXP((INDEX(LOGEST(G102:H102,G50:H50),1)-1)*G87))</f>
        <v>15041.330171988291</v>
      </c>
      <c r="H127" s="147">
        <f>H102</f>
        <v>16560.952771339234</v>
      </c>
      <c r="I127" s="147"/>
      <c r="J127" s="147"/>
    </row>
    <row r="128" spans="1:11" s="197" customFormat="1" ht="12.75">
      <c r="C128" s="199">
        <f t="shared" si="19"/>
        <v>2016</v>
      </c>
      <c r="D128" s="147">
        <f>+IF(D88&lt;D51,INDEX(LOGEST(D103:D103,D51),2)*EXP((INDEX(LOGEST(D103:D103,D51),1)-1)*D88),INDEX(LOGEST(D103:E103,D51:E51),2)*EXP((INDEX(LOGEST(D103:E103,D51:E51),1)-1)*D88))</f>
        <v>3807.0931122179031</v>
      </c>
      <c r="E128" s="147">
        <f>+IF(E88&lt;E51,INDEX(LOGEST(E103:E103,E51),2)*EXP((INDEX(LOGEST(E103:E103,E51),1)-1)*E88),INDEX(LOGEST(E103:F103,E51:F51),2)*EXP((INDEX(LOGEST(E103:F103,E51:F51),1)-1)*E88))</f>
        <v>8022.9540879633432</v>
      </c>
      <c r="F128" s="147">
        <f>+IF(F88&lt;F51,INDEX(LOGEST(F103:F103,F51),2)*EXP((INDEX(LOGEST(F103:F103,F51),1)-1)*F88),INDEX(LOGEST(F103:G103,F51:G51),2)*EXP((INDEX(LOGEST(F103:G103,F51:G51),1)-1)*F88))</f>
        <v>11721.470749843513</v>
      </c>
      <c r="G128" s="147">
        <f>G103</f>
        <v>14058.739037888463</v>
      </c>
      <c r="H128" s="147"/>
      <c r="I128" s="147"/>
      <c r="J128" s="147"/>
    </row>
    <row r="129" spans="1:10" s="197" customFormat="1" ht="12.75">
      <c r="C129" s="199">
        <f t="shared" si="19"/>
        <v>2017</v>
      </c>
      <c r="D129" s="147">
        <f>+IF(D89&lt;D52,INDEX(LOGEST(D104:D104,D52),2)*EXP((INDEX(LOGEST(D104:D104,D52),1)-1)*D89),INDEX(LOGEST(D104:E104,D52:E52),2)*EXP((INDEX(LOGEST(D104:E104,D52:E52),1)-1)*D89))</f>
        <v>3624.6333513233217</v>
      </c>
      <c r="E129" s="147">
        <f>+IF(E89&lt;E52,INDEX(LOGEST(E104:E104,E52),2)*EXP((INDEX(LOGEST(E104:E104,E52),1)-1)*E89),INDEX(LOGEST(E104:F104,E52:F52),2)*EXP((INDEX(LOGEST(E104:F104,E52:F52),1)-1)*E89))</f>
        <v>7704.4323109915968</v>
      </c>
      <c r="F129" s="147">
        <f>F104</f>
        <v>11398.269728336943</v>
      </c>
      <c r="G129" s="147"/>
      <c r="H129" s="147"/>
      <c r="I129" s="147"/>
      <c r="J129" s="147"/>
    </row>
    <row r="130" spans="1:10" s="197" customFormat="1" ht="12.75">
      <c r="C130" s="199">
        <f t="shared" si="19"/>
        <v>2018</v>
      </c>
      <c r="D130" s="75">
        <f>+IF(D90&lt;D53,INDEX(LOGEST(D105:D105,D53),2)*EXP((INDEX(LOGEST(D105:D105,D53),1)-1)*D90),INDEX(LOGEST(D105:E105,D53:E53),2)*EXP((INDEX(LOGEST(D105:E105,D53:E53),1)-1)*D90))</f>
        <v>3669.6965082733414</v>
      </c>
      <c r="E130" s="147">
        <f>E105</f>
        <v>7987.5344919489171</v>
      </c>
      <c r="F130" s="147"/>
      <c r="G130" s="147"/>
      <c r="H130" s="147"/>
      <c r="I130" s="147"/>
      <c r="J130" s="147"/>
    </row>
    <row r="131" spans="1:10" s="197" customFormat="1" ht="12.75">
      <c r="C131" s="199">
        <f t="shared" si="19"/>
        <v>2019</v>
      </c>
      <c r="D131" s="147">
        <f>D106</f>
        <v>3912.0020781148528</v>
      </c>
      <c r="E131" s="147"/>
      <c r="F131" s="147"/>
      <c r="G131" s="147"/>
      <c r="H131" s="147"/>
      <c r="I131" s="147"/>
      <c r="J131" s="147"/>
    </row>
    <row r="132" spans="1:10" s="197" customFormat="1" ht="12.75">
      <c r="E132" s="147"/>
      <c r="F132" s="147"/>
      <c r="G132" s="147"/>
      <c r="H132" s="147"/>
      <c r="I132" s="147"/>
      <c r="J132" s="147"/>
    </row>
    <row r="133" spans="1:10" s="197" customFormat="1" ht="12.75">
      <c r="A133" s="239"/>
      <c r="B133" s="239" t="s">
        <v>323</v>
      </c>
      <c r="C133" s="239"/>
      <c r="D133" s="239"/>
      <c r="E133" s="239"/>
      <c r="F133" s="239"/>
      <c r="G133" s="239"/>
      <c r="H133" s="239"/>
      <c r="I133" s="239"/>
      <c r="J133" s="337"/>
    </row>
    <row r="134" spans="1:10" s="197" customFormat="1" ht="12.75">
      <c r="J134" s="338"/>
    </row>
    <row r="135" spans="1:10" s="197" customFormat="1" ht="12.75">
      <c r="C135" s="199" t="s">
        <v>203</v>
      </c>
      <c r="D135" s="533"/>
      <c r="E135" s="533"/>
      <c r="F135" s="533"/>
      <c r="G135" s="533"/>
      <c r="H135" s="533"/>
      <c r="I135" s="533"/>
      <c r="J135" s="341"/>
    </row>
    <row r="136" spans="1:10" s="197" customFormat="1" ht="12.75">
      <c r="C136" s="26" t="s">
        <v>8</v>
      </c>
      <c r="D136" s="79">
        <f t="shared" ref="D136:I136" si="20">+D121</f>
        <v>15</v>
      </c>
      <c r="E136" s="79">
        <f t="shared" si="20"/>
        <v>27</v>
      </c>
      <c r="F136" s="79">
        <f t="shared" si="20"/>
        <v>39</v>
      </c>
      <c r="G136" s="79">
        <f t="shared" si="20"/>
        <v>51</v>
      </c>
      <c r="H136" s="79">
        <f t="shared" si="20"/>
        <v>63</v>
      </c>
      <c r="I136" s="79">
        <f t="shared" si="20"/>
        <v>75</v>
      </c>
      <c r="J136" s="79"/>
    </row>
    <row r="137" spans="1:10" s="197" customFormat="1" ht="4.5" customHeight="1">
      <c r="J137" s="338"/>
    </row>
    <row r="138" spans="1:10" s="197" customFormat="1" ht="12.75">
      <c r="C138" s="199">
        <f t="shared" ref="C138:C146" si="21">+C123</f>
        <v>2011</v>
      </c>
      <c r="D138" s="147"/>
      <c r="E138" s="147"/>
      <c r="F138" s="147"/>
      <c r="G138" s="147"/>
      <c r="H138" s="147"/>
      <c r="I138" s="147">
        <f t="shared" ref="I138:I141" si="22">I123*I83/1000</f>
        <v>2451447.5597457811</v>
      </c>
      <c r="J138" s="147"/>
    </row>
    <row r="139" spans="1:10" s="197" customFormat="1" ht="12.75">
      <c r="C139" s="199">
        <f t="shared" si="21"/>
        <v>2012</v>
      </c>
      <c r="D139" s="147"/>
      <c r="E139" s="147"/>
      <c r="F139" s="147"/>
      <c r="G139" s="147"/>
      <c r="H139" s="147">
        <f>H124*H84/1000</f>
        <v>2164243.7393745161</v>
      </c>
      <c r="I139" s="147">
        <f t="shared" si="22"/>
        <v>2378762.9362338446</v>
      </c>
      <c r="J139" s="147"/>
    </row>
    <row r="140" spans="1:10" s="197" customFormat="1" ht="12.75">
      <c r="C140" s="199">
        <f t="shared" si="21"/>
        <v>2013</v>
      </c>
      <c r="D140" s="147"/>
      <c r="E140" s="147"/>
      <c r="F140" s="147"/>
      <c r="G140" s="147">
        <f t="shared" ref="G140:G143" si="23">G125*G85/1000</f>
        <v>1816444.4455586507</v>
      </c>
      <c r="H140" s="147">
        <f t="shared" ref="H140:H142" si="24">H125*H85/1000</f>
        <v>2138614.7730076783</v>
      </c>
      <c r="I140" s="147">
        <f t="shared" si="22"/>
        <v>2341654.5084348051</v>
      </c>
      <c r="J140" s="147"/>
    </row>
    <row r="141" spans="1:10" s="197" customFormat="1" ht="12.75">
      <c r="C141" s="199">
        <f t="shared" si="21"/>
        <v>2014</v>
      </c>
      <c r="D141" s="147"/>
      <c r="E141" s="147"/>
      <c r="F141" s="147">
        <f t="shared" ref="F141:F144" si="25">F126*F86/1000</f>
        <v>1360127.4792802646</v>
      </c>
      <c r="G141" s="147">
        <f t="shared" si="23"/>
        <v>1836483.1341744312</v>
      </c>
      <c r="H141" s="147">
        <f t="shared" si="24"/>
        <v>2157161.670039658</v>
      </c>
      <c r="I141" s="147">
        <f t="shared" si="22"/>
        <v>2361682.98</v>
      </c>
      <c r="J141" s="147"/>
    </row>
    <row r="142" spans="1:10" s="197" customFormat="1" ht="12.75">
      <c r="C142" s="199">
        <f t="shared" si="21"/>
        <v>2015</v>
      </c>
      <c r="D142" s="147"/>
      <c r="E142" s="147">
        <f t="shared" ref="E142:E145" si="26">E127*E87/1000</f>
        <v>715722.83775973809</v>
      </c>
      <c r="F142" s="147">
        <f t="shared" si="25"/>
        <v>1360972.7313440614</v>
      </c>
      <c r="G142" s="147">
        <f t="shared" si="23"/>
        <v>1828751.9730883287</v>
      </c>
      <c r="H142" s="147">
        <f t="shared" si="24"/>
        <v>2129175.4539999999</v>
      </c>
      <c r="I142" s="147"/>
      <c r="J142" s="147"/>
    </row>
    <row r="143" spans="1:10" s="197" customFormat="1" ht="12.75">
      <c r="C143" s="199">
        <f t="shared" si="21"/>
        <v>2016</v>
      </c>
      <c r="D143" s="147">
        <f t="shared" ref="D143:D146" si="27">D128*D88/1000</f>
        <v>195386.34438442363</v>
      </c>
      <c r="E143" s="147">
        <f t="shared" si="26"/>
        <v>704563.1305095735</v>
      </c>
      <c r="F143" s="147">
        <f t="shared" si="25"/>
        <v>1310103.4522987502</v>
      </c>
      <c r="G143" s="147">
        <f t="shared" si="23"/>
        <v>1750270.8339999998</v>
      </c>
      <c r="H143" s="147"/>
      <c r="I143" s="147"/>
      <c r="J143" s="147"/>
    </row>
    <row r="144" spans="1:10" s="197" customFormat="1" ht="12.75">
      <c r="C144" s="199">
        <f t="shared" si="21"/>
        <v>2017</v>
      </c>
      <c r="D144" s="147">
        <f t="shared" si="27"/>
        <v>186673.71940053997</v>
      </c>
      <c r="E144" s="147">
        <f t="shared" si="26"/>
        <v>678960.70445571258</v>
      </c>
      <c r="F144" s="147">
        <f t="shared" si="25"/>
        <v>1278441.331</v>
      </c>
      <c r="G144" s="147"/>
      <c r="H144" s="147"/>
      <c r="I144" s="147"/>
      <c r="J144" s="147"/>
    </row>
    <row r="145" spans="1:11" s="197" customFormat="1" ht="12.75">
      <c r="C145" s="199">
        <f t="shared" si="21"/>
        <v>2018</v>
      </c>
      <c r="D145" s="147">
        <f t="shared" si="27"/>
        <v>193120.76293970118</v>
      </c>
      <c r="E145" s="147">
        <f t="shared" si="26"/>
        <v>719277.48100000003</v>
      </c>
      <c r="F145" s="147"/>
      <c r="G145" s="147"/>
      <c r="H145" s="147"/>
      <c r="I145" s="147"/>
      <c r="J145" s="147"/>
    </row>
    <row r="146" spans="1:11" s="197" customFormat="1" ht="12.75">
      <c r="C146" s="199">
        <f t="shared" si="21"/>
        <v>2019</v>
      </c>
      <c r="D146" s="147">
        <f t="shared" si="27"/>
        <v>210837.35200000001</v>
      </c>
      <c r="E146" s="147"/>
      <c r="F146" s="147"/>
      <c r="G146" s="147"/>
      <c r="H146" s="147"/>
      <c r="I146" s="147"/>
      <c r="J146" s="147"/>
    </row>
    <row r="147" spans="1:11" s="197" customFormat="1" ht="12.75">
      <c r="C147" s="199"/>
      <c r="E147" s="147"/>
      <c r="F147" s="147"/>
      <c r="G147" s="147"/>
      <c r="H147" s="147"/>
      <c r="I147" s="147"/>
      <c r="J147" s="147"/>
    </row>
    <row r="148" spans="1:11" s="197" customFormat="1" ht="13.15">
      <c r="A148" s="239"/>
      <c r="B148" s="239" t="s">
        <v>289</v>
      </c>
      <c r="C148" s="239"/>
      <c r="D148" s="239"/>
      <c r="E148" s="239"/>
      <c r="F148" s="239"/>
      <c r="G148" s="239"/>
      <c r="H148" s="239"/>
      <c r="I148" s="239"/>
      <c r="J148" s="337"/>
      <c r="K148" s="195"/>
    </row>
    <row r="149" spans="1:11" s="197" customFormat="1" ht="13.15">
      <c r="J149" s="338"/>
      <c r="K149" s="195"/>
    </row>
    <row r="150" spans="1:11" s="197" customFormat="1" ht="13.15">
      <c r="C150" s="199" t="s">
        <v>203</v>
      </c>
      <c r="D150" s="533"/>
      <c r="E150" s="533"/>
      <c r="F150" s="533"/>
      <c r="G150" s="533"/>
      <c r="H150" s="533"/>
      <c r="I150" s="533"/>
      <c r="J150" s="341"/>
      <c r="K150" s="195"/>
    </row>
    <row r="151" spans="1:11" s="197" customFormat="1" ht="13.15">
      <c r="C151" s="26" t="s">
        <v>8</v>
      </c>
      <c r="D151" s="432">
        <v>15</v>
      </c>
      <c r="E151" s="432">
        <v>27</v>
      </c>
      <c r="F151" s="432">
        <v>39</v>
      </c>
      <c r="G151" s="432">
        <v>51</v>
      </c>
      <c r="H151" s="432">
        <v>63</v>
      </c>
      <c r="I151" s="432">
        <v>75</v>
      </c>
      <c r="J151" s="79"/>
      <c r="K151" s="195"/>
    </row>
    <row r="152" spans="1:11" s="197" customFormat="1" ht="4.5" customHeight="1">
      <c r="D152" s="433"/>
      <c r="E152" s="433"/>
      <c r="F152" s="433"/>
      <c r="G152" s="433"/>
      <c r="H152" s="433"/>
      <c r="I152" s="433"/>
      <c r="J152" s="338"/>
    </row>
    <row r="153" spans="1:11" s="197" customFormat="1" ht="13.15">
      <c r="C153" s="199">
        <f t="shared" ref="C153:C161" si="28">+C123</f>
        <v>2011</v>
      </c>
      <c r="D153" s="419"/>
      <c r="E153" s="419"/>
      <c r="F153" s="419"/>
      <c r="G153" s="419"/>
      <c r="H153" s="419"/>
      <c r="I153" s="419">
        <v>736639.01457479666</v>
      </c>
      <c r="J153" s="147"/>
      <c r="K153" s="195"/>
    </row>
    <row r="154" spans="1:11" s="197" customFormat="1" ht="13.15">
      <c r="C154" s="199">
        <f t="shared" si="28"/>
        <v>2012</v>
      </c>
      <c r="D154" s="419"/>
      <c r="E154" s="419"/>
      <c r="F154" s="419"/>
      <c r="G154" s="419"/>
      <c r="H154" s="419">
        <v>800570.14816406555</v>
      </c>
      <c r="I154" s="419">
        <v>651489.00757695606</v>
      </c>
      <c r="J154" s="147"/>
      <c r="K154" s="195"/>
    </row>
    <row r="155" spans="1:11" s="197" customFormat="1" ht="13.15">
      <c r="C155" s="199">
        <f t="shared" si="28"/>
        <v>2013</v>
      </c>
      <c r="D155" s="419"/>
      <c r="E155" s="419"/>
      <c r="F155" s="419"/>
      <c r="G155" s="419">
        <v>864337.34870290628</v>
      </c>
      <c r="H155" s="419">
        <v>689195.59602889803</v>
      </c>
      <c r="I155" s="419">
        <v>549373.5899999995</v>
      </c>
      <c r="J155" s="147"/>
      <c r="K155" s="195"/>
    </row>
    <row r="156" spans="1:11" s="197" customFormat="1" ht="13.15">
      <c r="C156" s="199">
        <f t="shared" si="28"/>
        <v>2014</v>
      </c>
      <c r="D156" s="419"/>
      <c r="E156" s="419"/>
      <c r="F156" s="419">
        <v>933300.2621002805</v>
      </c>
      <c r="G156" s="419">
        <v>793689.45386716456</v>
      </c>
      <c r="H156" s="419">
        <v>624795.66100000043</v>
      </c>
      <c r="I156" s="419">
        <v>505333.86</v>
      </c>
      <c r="J156" s="147"/>
      <c r="K156" s="195"/>
    </row>
    <row r="157" spans="1:11" s="197" customFormat="1" ht="13.15">
      <c r="C157" s="199">
        <f t="shared" si="28"/>
        <v>2015</v>
      </c>
      <c r="D157" s="419"/>
      <c r="E157" s="419">
        <v>883985.53405587398</v>
      </c>
      <c r="F157" s="419">
        <v>881422.42073103297</v>
      </c>
      <c r="G157" s="419">
        <v>730322.4099999998</v>
      </c>
      <c r="H157" s="419">
        <v>595433.95299999998</v>
      </c>
      <c r="I157" s="419"/>
      <c r="J157" s="147"/>
      <c r="K157" s="195"/>
    </row>
    <row r="158" spans="1:11" s="197" customFormat="1" ht="13.15">
      <c r="C158" s="199">
        <f t="shared" si="28"/>
        <v>2016</v>
      </c>
      <c r="D158" s="419">
        <v>552356.19453088078</v>
      </c>
      <c r="E158" s="419">
        <v>864167.20677441487</v>
      </c>
      <c r="F158" s="419">
        <v>836054.14</v>
      </c>
      <c r="G158" s="419">
        <v>709346.72100000002</v>
      </c>
      <c r="H158" s="419"/>
      <c r="I158" s="419"/>
      <c r="J158" s="147"/>
      <c r="K158" s="195"/>
    </row>
    <row r="159" spans="1:11" s="197" customFormat="1" ht="13.15">
      <c r="C159" s="199">
        <f t="shared" si="28"/>
        <v>2017</v>
      </c>
      <c r="D159" s="419">
        <v>568207.23730455269</v>
      </c>
      <c r="E159" s="419">
        <v>856256.69200000004</v>
      </c>
      <c r="F159" s="419">
        <v>826062.84199999995</v>
      </c>
      <c r="G159" s="419"/>
      <c r="H159" s="419"/>
      <c r="I159" s="419"/>
      <c r="J159" s="147"/>
      <c r="K159" s="195"/>
    </row>
    <row r="160" spans="1:11" s="197" customFormat="1" ht="13.15">
      <c r="C160" s="199">
        <f t="shared" si="28"/>
        <v>2018</v>
      </c>
      <c r="D160" s="419">
        <v>596167.39899999998</v>
      </c>
      <c r="E160" s="419">
        <v>903592.84699999995</v>
      </c>
      <c r="F160" s="419"/>
      <c r="G160" s="419"/>
      <c r="H160" s="419"/>
      <c r="I160" s="419"/>
      <c r="J160" s="147"/>
      <c r="K160" s="195"/>
    </row>
    <row r="161" spans="1:11" s="197" customFormat="1" ht="13.15">
      <c r="C161" s="199">
        <f t="shared" si="28"/>
        <v>2019</v>
      </c>
      <c r="D161" s="419">
        <v>587536.17599999998</v>
      </c>
      <c r="E161" s="419"/>
      <c r="F161" s="419"/>
      <c r="G161" s="419"/>
      <c r="H161" s="419"/>
      <c r="I161" s="419"/>
      <c r="J161" s="147"/>
      <c r="K161" s="195"/>
    </row>
    <row r="162" spans="1:11" s="197" customFormat="1" ht="12.75">
      <c r="C162" s="199"/>
      <c r="E162" s="147"/>
      <c r="F162" s="147"/>
      <c r="G162" s="147"/>
      <c r="H162" s="147"/>
      <c r="I162" s="147"/>
      <c r="J162" s="147"/>
    </row>
    <row r="163" spans="1:11" s="197" customFormat="1" ht="24.75" customHeight="1">
      <c r="A163" s="148" t="s">
        <v>38</v>
      </c>
      <c r="B163" s="534" t="s">
        <v>274</v>
      </c>
      <c r="C163" s="534"/>
      <c r="D163" s="534"/>
      <c r="E163" s="534"/>
      <c r="F163" s="534"/>
      <c r="G163" s="534"/>
      <c r="H163" s="534"/>
      <c r="I163" s="534"/>
      <c r="J163" s="534"/>
      <c r="K163" s="193"/>
    </row>
    <row r="164" spans="1:11" s="197" customFormat="1" ht="26.25" customHeight="1">
      <c r="A164" s="148" t="s">
        <v>57</v>
      </c>
      <c r="B164" s="534" t="s">
        <v>290</v>
      </c>
      <c r="C164" s="534"/>
      <c r="D164" s="534"/>
      <c r="E164" s="534"/>
      <c r="F164" s="534"/>
      <c r="G164" s="534"/>
      <c r="H164" s="534"/>
      <c r="I164" s="534"/>
      <c r="J164" s="534"/>
      <c r="K164" s="193"/>
    </row>
    <row r="165" spans="1:11" s="197" customFormat="1" ht="12.75">
      <c r="B165" s="536"/>
      <c r="C165" s="536"/>
      <c r="D165" s="536"/>
      <c r="E165" s="536"/>
      <c r="F165" s="536"/>
      <c r="G165" s="536"/>
      <c r="H165" s="536"/>
      <c r="I165" s="536"/>
      <c r="J165" s="338"/>
    </row>
    <row r="166" spans="1:11" s="197" customFormat="1" ht="12.75">
      <c r="B166" s="342" t="s">
        <v>291</v>
      </c>
      <c r="C166" s="342"/>
      <c r="D166" s="342"/>
      <c r="E166" s="342"/>
      <c r="F166" s="342"/>
      <c r="G166" s="342"/>
      <c r="H166" s="342"/>
      <c r="I166" s="342"/>
      <c r="J166" s="338"/>
    </row>
    <row r="167" spans="1:11" ht="45" customHeight="1">
      <c r="A167" s="227"/>
      <c r="B167" s="227"/>
      <c r="C167" s="115"/>
      <c r="D167" s="226"/>
      <c r="E167" s="154"/>
      <c r="F167" s="154"/>
      <c r="G167" s="154"/>
      <c r="H167" s="154"/>
      <c r="I167" s="227"/>
      <c r="J167" s="227"/>
      <c r="K167" s="148" t="s">
        <v>393</v>
      </c>
    </row>
    <row r="168" spans="1:11" s="197" customFormat="1" ht="13.15">
      <c r="A168" s="279" t="s">
        <v>35</v>
      </c>
      <c r="B168" s="279"/>
      <c r="C168" s="279"/>
      <c r="D168" s="279"/>
      <c r="E168" s="279"/>
      <c r="F168" s="279"/>
      <c r="G168" s="279"/>
      <c r="H168" s="279"/>
      <c r="I168" s="279"/>
      <c r="J168" s="279"/>
      <c r="K168" s="279"/>
    </row>
    <row r="169" spans="1:11" s="197" customFormat="1" ht="13.15">
      <c r="A169" s="279" t="s">
        <v>262</v>
      </c>
      <c r="B169" s="279"/>
      <c r="C169" s="279"/>
      <c r="D169" s="279"/>
      <c r="E169" s="279"/>
      <c r="F169" s="279"/>
      <c r="G169" s="279"/>
      <c r="H169" s="279"/>
      <c r="I169" s="279"/>
      <c r="J169" s="279"/>
      <c r="K169" s="279"/>
    </row>
    <row r="170" spans="1:11" s="197" customFormat="1" ht="13.15">
      <c r="A170" s="279" t="s">
        <v>263</v>
      </c>
      <c r="B170" s="279"/>
      <c r="C170" s="279"/>
      <c r="D170" s="279"/>
      <c r="E170" s="279"/>
      <c r="F170" s="279"/>
      <c r="G170" s="279"/>
      <c r="H170" s="279"/>
      <c r="I170" s="279"/>
      <c r="J170" s="279"/>
      <c r="K170" s="279"/>
    </row>
    <row r="171" spans="1:11" s="197" customFormat="1" ht="13.15">
      <c r="A171" s="195"/>
      <c r="B171" s="195"/>
      <c r="C171" s="195"/>
      <c r="D171" s="195"/>
      <c r="E171" s="195"/>
      <c r="F171" s="195"/>
      <c r="G171" s="195"/>
      <c r="H171" s="195"/>
      <c r="I171" s="195"/>
      <c r="J171" s="340"/>
      <c r="K171" s="195"/>
    </row>
    <row r="172" spans="1:11" s="197" customFormat="1" ht="13.15">
      <c r="A172" s="195"/>
      <c r="B172" s="195"/>
      <c r="C172" s="195"/>
      <c r="D172" s="195"/>
      <c r="E172" s="195"/>
      <c r="F172" s="195"/>
      <c r="G172" s="195"/>
      <c r="H172" s="195"/>
      <c r="I172" s="195"/>
      <c r="J172" s="340"/>
      <c r="K172" s="195"/>
    </row>
    <row r="173" spans="1:11" s="197" customFormat="1" ht="12.75">
      <c r="A173" s="239"/>
      <c r="B173" s="239" t="s">
        <v>324</v>
      </c>
      <c r="C173" s="239"/>
      <c r="D173" s="239"/>
      <c r="E173" s="239"/>
      <c r="F173" s="239"/>
      <c r="G173" s="239"/>
      <c r="H173" s="239"/>
      <c r="I173" s="239"/>
      <c r="J173" s="239"/>
      <c r="K173" s="239"/>
    </row>
    <row r="174" spans="1:11" s="197" customFormat="1" ht="12.75">
      <c r="J174" s="338"/>
    </row>
    <row r="175" spans="1:11" s="197" customFormat="1" ht="12.75">
      <c r="C175" s="199" t="s">
        <v>203</v>
      </c>
      <c r="D175" s="533"/>
      <c r="E175" s="533"/>
      <c r="F175" s="533"/>
      <c r="G175" s="533"/>
      <c r="H175" s="533"/>
      <c r="I175" s="533"/>
      <c r="J175" s="341"/>
    </row>
    <row r="176" spans="1:11" s="197" customFormat="1" ht="12.75">
      <c r="C176" s="26" t="s">
        <v>8</v>
      </c>
      <c r="D176" s="432">
        <v>15</v>
      </c>
      <c r="E176" s="432">
        <v>27</v>
      </c>
      <c r="F176" s="432">
        <v>39</v>
      </c>
      <c r="G176" s="432">
        <v>51</v>
      </c>
      <c r="H176" s="432">
        <v>63</v>
      </c>
      <c r="I176" s="432">
        <v>75</v>
      </c>
      <c r="J176" s="79"/>
    </row>
    <row r="177" spans="1:11" s="197" customFormat="1" ht="4.5" customHeight="1">
      <c r="D177" s="433"/>
      <c r="E177" s="433"/>
      <c r="F177" s="433"/>
      <c r="G177" s="433"/>
      <c r="H177" s="433"/>
      <c r="I177" s="433"/>
      <c r="J177" s="338"/>
    </row>
    <row r="178" spans="1:11" s="197" customFormat="1" ht="12.75">
      <c r="C178" s="199">
        <f t="shared" ref="C178:C186" si="29">C153</f>
        <v>2011</v>
      </c>
      <c r="D178" s="417"/>
      <c r="E178" s="417"/>
      <c r="F178" s="417"/>
      <c r="G178" s="417"/>
      <c r="H178" s="417"/>
      <c r="I178" s="434">
        <v>52758.475979179319</v>
      </c>
      <c r="J178" s="244"/>
    </row>
    <row r="179" spans="1:11" s="197" customFormat="1" ht="12.75">
      <c r="C179" s="199">
        <f t="shared" si="29"/>
        <v>2012</v>
      </c>
      <c r="D179" s="417"/>
      <c r="E179" s="417"/>
      <c r="F179" s="417"/>
      <c r="G179" s="417"/>
      <c r="H179" s="434">
        <v>41211.428081275597</v>
      </c>
      <c r="I179" s="434">
        <v>49183.258844923555</v>
      </c>
      <c r="J179" s="244"/>
    </row>
    <row r="180" spans="1:11" s="197" customFormat="1" ht="12.75">
      <c r="C180" s="199">
        <f t="shared" si="29"/>
        <v>2013</v>
      </c>
      <c r="D180" s="417"/>
      <c r="E180" s="417"/>
      <c r="F180" s="417"/>
      <c r="G180" s="434">
        <v>30873.785673242368</v>
      </c>
      <c r="H180" s="434">
        <v>37582.034702491474</v>
      </c>
      <c r="I180" s="434">
        <v>44744.55041537706</v>
      </c>
      <c r="J180" s="244"/>
    </row>
    <row r="181" spans="1:11" s="197" customFormat="1" ht="12.75">
      <c r="C181" s="199">
        <f t="shared" si="29"/>
        <v>2014</v>
      </c>
      <c r="D181" s="417"/>
      <c r="E181" s="417"/>
      <c r="F181" s="434">
        <v>21993.364419045247</v>
      </c>
      <c r="G181" s="434">
        <v>29334.338779198853</v>
      </c>
      <c r="H181" s="434">
        <v>35737.32545901736</v>
      </c>
      <c r="I181" s="434">
        <v>43250.073604929821</v>
      </c>
      <c r="J181" s="244"/>
    </row>
    <row r="182" spans="1:11" s="197" customFormat="1" ht="12.75">
      <c r="C182" s="199">
        <f t="shared" si="29"/>
        <v>2015</v>
      </c>
      <c r="D182" s="417"/>
      <c r="E182" s="434">
        <v>13995.530994610504</v>
      </c>
      <c r="F182" s="434">
        <v>21799.951256050506</v>
      </c>
      <c r="G182" s="434">
        <v>29447.2968831902</v>
      </c>
      <c r="H182" s="434">
        <v>37422.786311356926</v>
      </c>
      <c r="I182" s="417"/>
      <c r="J182" s="75"/>
    </row>
    <row r="183" spans="1:11" s="197" customFormat="1" ht="12.75">
      <c r="C183" s="199">
        <f t="shared" si="29"/>
        <v>2016</v>
      </c>
      <c r="D183" s="434">
        <v>6574.3656352080379</v>
      </c>
      <c r="E183" s="434">
        <v>14290.856982796071</v>
      </c>
      <c r="F183" s="434">
        <v>22320.371092185705</v>
      </c>
      <c r="G183" s="434">
        <v>30827.758409387225</v>
      </c>
      <c r="H183" s="417"/>
      <c r="I183" s="417"/>
      <c r="J183" s="75"/>
    </row>
    <row r="184" spans="1:11" s="197" customFormat="1" ht="12.75">
      <c r="C184" s="199">
        <f t="shared" si="29"/>
        <v>2017</v>
      </c>
      <c r="D184" s="434">
        <v>6899.5298102864708</v>
      </c>
      <c r="E184" s="434">
        <v>15114.057366776693</v>
      </c>
      <c r="F184" s="434">
        <v>23526.510651629073</v>
      </c>
      <c r="G184" s="417"/>
      <c r="H184" s="417"/>
      <c r="I184" s="417"/>
      <c r="J184" s="75"/>
    </row>
    <row r="185" spans="1:11" s="197" customFormat="1" ht="12.75">
      <c r="C185" s="199">
        <f t="shared" si="29"/>
        <v>2018</v>
      </c>
      <c r="D185" s="434">
        <v>7188.2825190508347</v>
      </c>
      <c r="E185" s="434">
        <v>15607.441868900596</v>
      </c>
      <c r="F185" s="417"/>
      <c r="G185" s="417"/>
      <c r="H185" s="417"/>
      <c r="I185" s="417"/>
      <c r="J185" s="75"/>
    </row>
    <row r="186" spans="1:11" s="197" customFormat="1" ht="12.75">
      <c r="C186" s="199">
        <f t="shared" si="29"/>
        <v>2019</v>
      </c>
      <c r="D186" s="434">
        <v>6922.125592026202</v>
      </c>
      <c r="E186" s="417"/>
      <c r="F186" s="417"/>
      <c r="G186" s="417"/>
      <c r="H186" s="417"/>
      <c r="I186" s="417"/>
      <c r="J186" s="75"/>
    </row>
    <row r="187" spans="1:11" s="197" customFormat="1" ht="12.75">
      <c r="E187" s="75"/>
      <c r="F187" s="75"/>
      <c r="G187" s="75"/>
      <c r="H187" s="75"/>
      <c r="I187" s="75"/>
      <c r="J187" s="75"/>
    </row>
    <row r="188" spans="1:11" s="197" customFormat="1" ht="12.75">
      <c r="A188" s="239"/>
      <c r="B188" s="239" t="s">
        <v>292</v>
      </c>
      <c r="C188" s="239"/>
      <c r="D188" s="239"/>
      <c r="E188" s="239"/>
      <c r="F188" s="239"/>
      <c r="G188" s="239"/>
      <c r="H188" s="239"/>
      <c r="I188" s="239"/>
      <c r="J188" s="239"/>
      <c r="K188" s="239"/>
    </row>
    <row r="189" spans="1:11" s="197" customFormat="1" ht="12.75">
      <c r="A189" s="363"/>
      <c r="B189" s="363" t="s">
        <v>325</v>
      </c>
      <c r="C189" s="239"/>
      <c r="D189" s="239"/>
      <c r="E189" s="239"/>
      <c r="F189" s="239"/>
      <c r="G189" s="239"/>
      <c r="H189" s="239"/>
      <c r="I189" s="239"/>
      <c r="J189" s="239"/>
      <c r="K189" s="239"/>
    </row>
    <row r="190" spans="1:11" s="197" customFormat="1" ht="12.75">
      <c r="J190" s="338"/>
    </row>
    <row r="191" spans="1:11" s="197" customFormat="1" ht="12.75">
      <c r="C191" s="199" t="s">
        <v>203</v>
      </c>
      <c r="D191" s="533"/>
      <c r="E191" s="533"/>
      <c r="F191" s="533"/>
      <c r="G191" s="533"/>
      <c r="H191" s="533"/>
      <c r="I191" s="533"/>
      <c r="J191" s="341"/>
    </row>
    <row r="192" spans="1:11" s="197" customFormat="1" ht="12.75">
      <c r="C192" s="26" t="s">
        <v>8</v>
      </c>
      <c r="D192" s="79">
        <f t="shared" ref="D192:I192" si="30">+D176</f>
        <v>15</v>
      </c>
      <c r="E192" s="79">
        <f t="shared" si="30"/>
        <v>27</v>
      </c>
      <c r="F192" s="79">
        <f t="shared" si="30"/>
        <v>39</v>
      </c>
      <c r="G192" s="79">
        <f t="shared" si="30"/>
        <v>51</v>
      </c>
      <c r="H192" s="79">
        <f t="shared" si="30"/>
        <v>63</v>
      </c>
      <c r="I192" s="79">
        <f t="shared" si="30"/>
        <v>75</v>
      </c>
      <c r="J192" s="79"/>
    </row>
    <row r="193" spans="1:10" s="197" customFormat="1" ht="4.5" customHeight="1">
      <c r="J193" s="338"/>
    </row>
    <row r="194" spans="1:10" s="197" customFormat="1" ht="12.75">
      <c r="C194" s="199">
        <f t="shared" ref="C194:C201" si="31">+C178</f>
        <v>2011</v>
      </c>
      <c r="D194" s="417"/>
      <c r="E194" s="417"/>
      <c r="F194" s="417"/>
      <c r="G194" s="417"/>
      <c r="H194" s="417"/>
      <c r="I194" s="434">
        <v>-212774.93362403021</v>
      </c>
      <c r="J194" s="244"/>
    </row>
    <row r="195" spans="1:10" s="197" customFormat="1" ht="12.75">
      <c r="C195" s="199">
        <f t="shared" si="31"/>
        <v>2012</v>
      </c>
      <c r="D195" s="417"/>
      <c r="E195" s="417"/>
      <c r="F195" s="417"/>
      <c r="G195" s="417"/>
      <c r="H195" s="434">
        <v>-236553.59718652192</v>
      </c>
      <c r="I195" s="434">
        <v>-132991.5319166733</v>
      </c>
      <c r="J195" s="244"/>
    </row>
    <row r="196" spans="1:10" s="197" customFormat="1" ht="12.75">
      <c r="C196" s="199">
        <f t="shared" si="31"/>
        <v>2013</v>
      </c>
      <c r="D196" s="417"/>
      <c r="E196" s="417"/>
      <c r="F196" s="417"/>
      <c r="G196" s="434">
        <v>-229392.22755219077</v>
      </c>
      <c r="H196" s="434">
        <v>-137587.82904582127</v>
      </c>
      <c r="I196" s="434">
        <v>-49308.494557745515</v>
      </c>
      <c r="J196" s="244"/>
    </row>
    <row r="197" spans="1:10" s="197" customFormat="1" ht="12.75">
      <c r="C197" s="199">
        <f t="shared" si="31"/>
        <v>2014</v>
      </c>
      <c r="D197" s="417"/>
      <c r="E197" s="417"/>
      <c r="F197" s="434">
        <v>-219361.8167155573</v>
      </c>
      <c r="G197" s="434">
        <v>-160546.83613855531</v>
      </c>
      <c r="H197" s="434">
        <v>-76585.088458674203</v>
      </c>
      <c r="I197" s="417"/>
      <c r="J197" s="75"/>
    </row>
    <row r="198" spans="1:10" s="197" customFormat="1" ht="12.75">
      <c r="C198" s="199">
        <f t="shared" si="31"/>
        <v>2015</v>
      </c>
      <c r="D198" s="417"/>
      <c r="E198" s="434">
        <v>-109151.14622696732</v>
      </c>
      <c r="F198" s="434">
        <v>-135203.29769002524</v>
      </c>
      <c r="G198" s="434">
        <v>-68612.201737833166</v>
      </c>
      <c r="H198" s="417"/>
      <c r="I198" s="417"/>
      <c r="J198" s="75"/>
    </row>
    <row r="199" spans="1:10" s="197" customFormat="1" ht="12.75">
      <c r="C199" s="199">
        <f t="shared" si="31"/>
        <v>2016</v>
      </c>
      <c r="D199" s="417">
        <v>-29709.558305505125</v>
      </c>
      <c r="E199" s="434">
        <v>-61536.430167919876</v>
      </c>
      <c r="F199" s="434">
        <v>-55086.675855514317</v>
      </c>
      <c r="G199" s="417"/>
      <c r="H199" s="417"/>
      <c r="I199" s="417"/>
      <c r="J199" s="75"/>
    </row>
    <row r="200" spans="1:10" s="197" customFormat="1" ht="12.75">
      <c r="C200" s="199">
        <f t="shared" si="31"/>
        <v>2017</v>
      </c>
      <c r="D200" s="434">
        <v>-5533.4229078497492</v>
      </c>
      <c r="E200" s="434">
        <v>62.095768292578228</v>
      </c>
      <c r="F200" s="417"/>
      <c r="G200" s="417"/>
      <c r="H200" s="417"/>
      <c r="I200" s="417"/>
      <c r="J200" s="75"/>
    </row>
    <row r="201" spans="1:10" s="197" customFormat="1" ht="12.75">
      <c r="C201" s="199">
        <f t="shared" si="31"/>
        <v>2018</v>
      </c>
      <c r="D201" s="434">
        <v>-409.73210358589762</v>
      </c>
      <c r="E201" s="417"/>
      <c r="F201" s="417"/>
      <c r="G201" s="417"/>
      <c r="H201" s="417"/>
      <c r="I201" s="417"/>
      <c r="J201" s="75"/>
    </row>
    <row r="202" spans="1:10" s="197" customFormat="1" ht="12.75">
      <c r="C202" s="199"/>
      <c r="E202" s="75"/>
      <c r="F202" s="75"/>
      <c r="G202" s="75"/>
      <c r="H202" s="75"/>
      <c r="I202" s="75"/>
      <c r="J202" s="75"/>
    </row>
    <row r="203" spans="1:10" s="197" customFormat="1" ht="12.75">
      <c r="A203" s="239"/>
      <c r="B203" s="239" t="s">
        <v>326</v>
      </c>
      <c r="C203" s="239"/>
      <c r="D203" s="239"/>
      <c r="E203" s="239"/>
      <c r="F203" s="239"/>
      <c r="G203" s="239"/>
      <c r="H203" s="239"/>
      <c r="I203" s="239"/>
      <c r="J203" s="337"/>
    </row>
    <row r="204" spans="1:10" s="197" customFormat="1" ht="12.75">
      <c r="J204" s="338"/>
    </row>
    <row r="205" spans="1:10" s="197" customFormat="1" ht="12.75">
      <c r="C205" s="199" t="s">
        <v>203</v>
      </c>
      <c r="D205" s="533"/>
      <c r="E205" s="533"/>
      <c r="F205" s="533"/>
      <c r="G205" s="533"/>
      <c r="H205" s="533"/>
      <c r="I205" s="533"/>
      <c r="J205" s="341"/>
    </row>
    <row r="206" spans="1:10" s="197" customFormat="1" ht="12.75">
      <c r="C206" s="26" t="s">
        <v>8</v>
      </c>
      <c r="D206" s="79">
        <f t="shared" ref="D206:I206" si="32">+D176</f>
        <v>15</v>
      </c>
      <c r="E206" s="79">
        <f t="shared" si="32"/>
        <v>27</v>
      </c>
      <c r="F206" s="79">
        <f t="shared" si="32"/>
        <v>39</v>
      </c>
      <c r="G206" s="79">
        <f t="shared" si="32"/>
        <v>51</v>
      </c>
      <c r="H206" s="79">
        <f t="shared" si="32"/>
        <v>63</v>
      </c>
      <c r="I206" s="79">
        <f t="shared" si="32"/>
        <v>75</v>
      </c>
      <c r="J206" s="79"/>
    </row>
    <row r="207" spans="1:10" s="197" customFormat="1" ht="4.5" customHeight="1">
      <c r="J207" s="338"/>
    </row>
    <row r="208" spans="1:10" s="197" customFormat="1" ht="12.75">
      <c r="C208" s="199">
        <f t="shared" ref="C208:C216" si="33">+C178</f>
        <v>2011</v>
      </c>
      <c r="D208" s="417"/>
      <c r="E208" s="417"/>
      <c r="F208" s="417"/>
      <c r="G208" s="417"/>
      <c r="H208" s="417"/>
      <c r="I208" s="434">
        <v>523864.08095076645</v>
      </c>
      <c r="J208" s="244"/>
    </row>
    <row r="209" spans="1:11" s="197" customFormat="1" ht="12.75">
      <c r="C209" s="199">
        <f t="shared" si="33"/>
        <v>2012</v>
      </c>
      <c r="D209" s="417"/>
      <c r="E209" s="417"/>
      <c r="F209" s="417"/>
      <c r="G209" s="417"/>
      <c r="H209" s="434">
        <v>564016.55097754369</v>
      </c>
      <c r="I209" s="434">
        <v>518497.47566028277</v>
      </c>
      <c r="J209" s="244"/>
    </row>
    <row r="210" spans="1:11" s="197" customFormat="1" ht="12.75">
      <c r="C210" s="199">
        <f t="shared" si="33"/>
        <v>2013</v>
      </c>
      <c r="D210" s="417"/>
      <c r="E210" s="417"/>
      <c r="F210" s="417"/>
      <c r="G210" s="434">
        <v>634945.12115071551</v>
      </c>
      <c r="H210" s="434">
        <v>551607.7669830767</v>
      </c>
      <c r="I210" s="434">
        <v>500065.09544225398</v>
      </c>
      <c r="J210" s="244"/>
    </row>
    <row r="211" spans="1:11" s="197" customFormat="1" ht="12.75">
      <c r="C211" s="199">
        <f t="shared" si="33"/>
        <v>2014</v>
      </c>
      <c r="D211" s="417"/>
      <c r="E211" s="417"/>
      <c r="F211" s="434">
        <v>713938.44538472313</v>
      </c>
      <c r="G211" s="434">
        <v>633142.61772860924</v>
      </c>
      <c r="H211" s="434">
        <v>548210.57254132628</v>
      </c>
      <c r="I211" s="434">
        <v>505333.86</v>
      </c>
      <c r="J211" s="244"/>
    </row>
    <row r="212" spans="1:11" s="197" customFormat="1" ht="12.75">
      <c r="C212" s="199">
        <f t="shared" si="33"/>
        <v>2015</v>
      </c>
      <c r="D212" s="417"/>
      <c r="E212" s="434">
        <v>774834.38782890665</v>
      </c>
      <c r="F212" s="434">
        <v>746219.12304100767</v>
      </c>
      <c r="G212" s="434">
        <v>661710.20826216659</v>
      </c>
      <c r="H212" s="434">
        <v>595433.95299999998</v>
      </c>
      <c r="I212" s="417"/>
      <c r="J212" s="75"/>
    </row>
    <row r="213" spans="1:11" s="197" customFormat="1" ht="12.75">
      <c r="C213" s="199">
        <f t="shared" si="33"/>
        <v>2016</v>
      </c>
      <c r="D213" s="417">
        <v>522646.63622537564</v>
      </c>
      <c r="E213" s="434">
        <v>802630.77660649503</v>
      </c>
      <c r="F213" s="434">
        <v>780967.46414448565</v>
      </c>
      <c r="G213" s="434">
        <v>709346.72100000002</v>
      </c>
      <c r="H213" s="417"/>
      <c r="I213" s="417"/>
      <c r="J213" s="75"/>
    </row>
    <row r="214" spans="1:11" s="197" customFormat="1" ht="12.75">
      <c r="C214" s="199">
        <f t="shared" si="33"/>
        <v>2017</v>
      </c>
      <c r="D214" s="434">
        <v>562673.81439670292</v>
      </c>
      <c r="E214" s="434">
        <v>856318.78776829259</v>
      </c>
      <c r="F214" s="434">
        <v>826062.84199999995</v>
      </c>
      <c r="G214" s="417"/>
      <c r="H214" s="417"/>
      <c r="I214" s="417"/>
      <c r="J214" s="75"/>
    </row>
    <row r="215" spans="1:11" s="197" customFormat="1" ht="12.75">
      <c r="C215" s="199">
        <f t="shared" si="33"/>
        <v>2018</v>
      </c>
      <c r="D215" s="434">
        <v>595757.66689641413</v>
      </c>
      <c r="E215" s="434">
        <v>903592.84699999995</v>
      </c>
      <c r="F215" s="417"/>
      <c r="G215" s="417"/>
      <c r="H215" s="417"/>
      <c r="I215" s="417"/>
      <c r="J215" s="75"/>
    </row>
    <row r="216" spans="1:11" s="197" customFormat="1" ht="12.75">
      <c r="C216" s="199">
        <f t="shared" si="33"/>
        <v>2019</v>
      </c>
      <c r="D216" s="434">
        <v>587536.17599999998</v>
      </c>
      <c r="E216" s="417"/>
      <c r="F216" s="417"/>
      <c r="G216" s="417"/>
      <c r="H216" s="417"/>
      <c r="I216" s="417"/>
      <c r="J216" s="75"/>
    </row>
    <row r="217" spans="1:11" s="197" customFormat="1" ht="12.75">
      <c r="C217" s="199"/>
      <c r="E217" s="75"/>
      <c r="F217" s="75"/>
      <c r="G217" s="75"/>
      <c r="H217" s="75"/>
      <c r="I217" s="75"/>
      <c r="J217" s="75"/>
    </row>
    <row r="218" spans="1:11" s="197" customFormat="1" ht="64.5" customHeight="1">
      <c r="A218" s="148" t="s">
        <v>41</v>
      </c>
      <c r="B218" s="534" t="s">
        <v>293</v>
      </c>
      <c r="C218" s="534"/>
      <c r="D218" s="534"/>
      <c r="E218" s="534"/>
      <c r="F218" s="534"/>
      <c r="G218" s="534"/>
      <c r="H218" s="534"/>
      <c r="I218" s="534"/>
      <c r="J218" s="534"/>
      <c r="K218" s="249"/>
    </row>
    <row r="219" spans="1:11" s="197" customFormat="1" ht="38.25" customHeight="1">
      <c r="A219" s="148" t="s">
        <v>76</v>
      </c>
      <c r="B219" s="534" t="s">
        <v>294</v>
      </c>
      <c r="C219" s="534"/>
      <c r="D219" s="534"/>
      <c r="E219" s="534"/>
      <c r="F219" s="534"/>
      <c r="G219" s="534"/>
      <c r="H219" s="534"/>
      <c r="I219" s="534"/>
      <c r="J219" s="534"/>
      <c r="K219" s="249"/>
    </row>
    <row r="220" spans="1:11" s="197" customFormat="1" ht="39" customHeight="1">
      <c r="A220" s="148" t="s">
        <v>170</v>
      </c>
      <c r="B220" s="534" t="s">
        <v>295</v>
      </c>
      <c r="C220" s="534"/>
      <c r="D220" s="534"/>
      <c r="E220" s="534"/>
      <c r="F220" s="534"/>
      <c r="G220" s="534"/>
      <c r="H220" s="534"/>
      <c r="I220" s="534"/>
      <c r="J220" s="534"/>
      <c r="K220" s="249"/>
    </row>
    <row r="221" spans="1:11" s="197" customFormat="1" ht="12.75">
      <c r="J221" s="338"/>
    </row>
    <row r="222" spans="1:11" s="197" customFormat="1" ht="12.75">
      <c r="B222" s="342" t="s">
        <v>291</v>
      </c>
      <c r="C222" s="342"/>
      <c r="D222" s="342"/>
      <c r="E222" s="342"/>
      <c r="F222" s="342"/>
      <c r="G222" s="342"/>
      <c r="H222" s="342"/>
      <c r="I222" s="342"/>
      <c r="J222" s="342"/>
      <c r="K222" s="342"/>
    </row>
    <row r="223" spans="1:11" ht="45" customHeight="1">
      <c r="A223" s="227"/>
      <c r="B223" s="227"/>
      <c r="C223" s="115"/>
      <c r="D223" s="182"/>
      <c r="E223" s="182"/>
      <c r="F223" s="182"/>
      <c r="G223" s="182"/>
      <c r="H223" s="227"/>
      <c r="K223" s="148" t="s">
        <v>394</v>
      </c>
    </row>
    <row r="224" spans="1:11" s="197" customFormat="1" ht="13.15">
      <c r="A224" s="279" t="s">
        <v>35</v>
      </c>
      <c r="B224" s="279"/>
      <c r="C224" s="279"/>
      <c r="D224" s="279"/>
      <c r="E224" s="279"/>
      <c r="F224" s="279"/>
      <c r="G224" s="279"/>
      <c r="H224" s="279"/>
      <c r="I224" s="279"/>
      <c r="J224" s="279"/>
      <c r="K224" s="25"/>
    </row>
    <row r="225" spans="1:11" s="197" customFormat="1" ht="13.15">
      <c r="A225" s="279" t="s">
        <v>262</v>
      </c>
      <c r="B225" s="279"/>
      <c r="C225" s="279"/>
      <c r="D225" s="279"/>
      <c r="E225" s="279"/>
      <c r="F225" s="279"/>
      <c r="G225" s="279"/>
      <c r="H225" s="279"/>
      <c r="I225" s="279"/>
      <c r="J225" s="279"/>
      <c r="K225" s="25"/>
    </row>
    <row r="226" spans="1:11" s="197" customFormat="1" ht="13.15">
      <c r="A226" s="279" t="s">
        <v>263</v>
      </c>
      <c r="B226" s="279"/>
      <c r="C226" s="279"/>
      <c r="D226" s="279"/>
      <c r="E226" s="279"/>
      <c r="F226" s="279"/>
      <c r="G226" s="279"/>
      <c r="H226" s="279"/>
      <c r="I226" s="279"/>
      <c r="J226" s="279"/>
      <c r="K226" s="25"/>
    </row>
    <row r="227" spans="1:11" s="197" customFormat="1" ht="13.15">
      <c r="A227" s="195"/>
      <c r="B227" s="195"/>
      <c r="C227" s="195"/>
      <c r="D227" s="195"/>
      <c r="E227" s="195"/>
      <c r="F227" s="195"/>
      <c r="G227" s="195"/>
      <c r="H227" s="195"/>
      <c r="J227" s="338"/>
    </row>
    <row r="228" spans="1:11" s="197" customFormat="1" ht="13.15">
      <c r="A228" s="195"/>
      <c r="B228" s="195"/>
      <c r="C228" s="195"/>
      <c r="D228" s="195"/>
      <c r="E228" s="195"/>
      <c r="F228" s="195"/>
      <c r="G228" s="195"/>
      <c r="H228" s="195"/>
      <c r="J228" s="338"/>
    </row>
    <row r="229" spans="1:11" s="197" customFormat="1" ht="12.75">
      <c r="A229" s="239"/>
      <c r="B229" s="239" t="s">
        <v>296</v>
      </c>
      <c r="C229" s="239"/>
      <c r="D229" s="239"/>
      <c r="E229" s="239"/>
      <c r="F229" s="239"/>
      <c r="G229" s="239"/>
      <c r="H229" s="239"/>
      <c r="I229" s="239"/>
      <c r="J229" s="337"/>
    </row>
    <row r="230" spans="1:11" s="197" customFormat="1" ht="12.75">
      <c r="J230" s="338"/>
    </row>
    <row r="231" spans="1:11" s="197" customFormat="1" ht="12.75">
      <c r="C231" s="199" t="s">
        <v>203</v>
      </c>
      <c r="D231" s="533"/>
      <c r="E231" s="533"/>
      <c r="F231" s="533"/>
      <c r="G231" s="533"/>
      <c r="H231" s="533"/>
      <c r="I231" s="533"/>
      <c r="J231" s="341"/>
    </row>
    <row r="232" spans="1:11" s="197" customFormat="1" ht="12.75">
      <c r="C232" s="26" t="s">
        <v>8</v>
      </c>
      <c r="D232" s="432">
        <v>15</v>
      </c>
      <c r="E232" s="432">
        <v>27</v>
      </c>
      <c r="F232" s="432">
        <v>39</v>
      </c>
      <c r="G232" s="432">
        <v>51</v>
      </c>
      <c r="H232" s="432">
        <v>63</v>
      </c>
      <c r="I232" s="432">
        <v>75</v>
      </c>
      <c r="J232" s="79"/>
    </row>
    <row r="233" spans="1:11" s="197" customFormat="1" ht="4.5" customHeight="1">
      <c r="D233" s="433"/>
      <c r="E233" s="433"/>
      <c r="F233" s="433"/>
      <c r="G233" s="433"/>
      <c r="H233" s="433"/>
      <c r="I233" s="433"/>
      <c r="J233" s="338"/>
    </row>
    <row r="234" spans="1:11" s="197" customFormat="1" ht="12.75">
      <c r="C234" s="199">
        <f t="shared" ref="C234:C242" si="34">C208</f>
        <v>2011</v>
      </c>
      <c r="D234" s="419" t="s">
        <v>34</v>
      </c>
      <c r="E234" s="419" t="s">
        <v>34</v>
      </c>
      <c r="F234" s="419"/>
      <c r="G234" s="419"/>
      <c r="H234" s="419"/>
      <c r="I234" s="434">
        <v>216191.33137670235</v>
      </c>
      <c r="J234" s="244"/>
    </row>
    <row r="235" spans="1:11" s="197" customFormat="1" ht="12.75">
      <c r="C235" s="199">
        <f t="shared" si="34"/>
        <v>2012</v>
      </c>
      <c r="D235" s="419" t="s">
        <v>34</v>
      </c>
      <c r="E235" s="419"/>
      <c r="F235" s="419"/>
      <c r="G235" s="419"/>
      <c r="H235" s="434">
        <v>221203.47311185411</v>
      </c>
      <c r="I235" s="434">
        <v>225602.77303378365</v>
      </c>
      <c r="J235" s="244"/>
    </row>
    <row r="236" spans="1:11" s="197" customFormat="1" ht="12.75">
      <c r="C236" s="199">
        <f t="shared" si="34"/>
        <v>2013</v>
      </c>
      <c r="D236" s="419"/>
      <c r="E236" s="419"/>
      <c r="F236" s="419"/>
      <c r="G236" s="434">
        <v>221653.0862021817</v>
      </c>
      <c r="H236" s="434">
        <v>228316.81027521164</v>
      </c>
      <c r="I236" s="434">
        <v>230780.94899999999</v>
      </c>
      <c r="J236" s="244"/>
    </row>
    <row r="237" spans="1:11" s="197" customFormat="1" ht="12.75">
      <c r="C237" s="199">
        <f t="shared" si="34"/>
        <v>2014</v>
      </c>
      <c r="D237" s="419"/>
      <c r="E237" s="419"/>
      <c r="F237" s="434">
        <v>239462.82532137228</v>
      </c>
      <c r="G237" s="434">
        <v>246220.3256521452</v>
      </c>
      <c r="H237" s="434">
        <v>248930.747</v>
      </c>
      <c r="I237" s="434">
        <v>251793.75200000001</v>
      </c>
      <c r="J237" s="244"/>
    </row>
    <row r="238" spans="1:11" s="197" customFormat="1" ht="12.75">
      <c r="C238" s="199">
        <f t="shared" si="34"/>
        <v>2015</v>
      </c>
      <c r="D238" s="419"/>
      <c r="E238" s="434">
        <v>241457.24062583625</v>
      </c>
      <c r="F238" s="434">
        <v>250792.5898029026</v>
      </c>
      <c r="G238" s="434">
        <v>256181.32</v>
      </c>
      <c r="H238" s="434">
        <v>261404.579</v>
      </c>
      <c r="I238" s="419"/>
      <c r="J238" s="147"/>
    </row>
    <row r="239" spans="1:11" s="197" customFormat="1" ht="12.75">
      <c r="C239" s="199">
        <f t="shared" si="34"/>
        <v>2016</v>
      </c>
      <c r="D239" s="434">
        <v>217061.68285082316</v>
      </c>
      <c r="E239" s="434">
        <v>258095.80292083824</v>
      </c>
      <c r="F239" s="434">
        <v>268099.22600000002</v>
      </c>
      <c r="G239" s="434">
        <v>275130.24699999997</v>
      </c>
      <c r="H239" s="419"/>
      <c r="I239" s="419"/>
      <c r="J239" s="147"/>
    </row>
    <row r="240" spans="1:11" s="197" customFormat="1" ht="12.75">
      <c r="C240" s="199">
        <f t="shared" si="34"/>
        <v>2017</v>
      </c>
      <c r="D240" s="434">
        <v>236913.48530436913</v>
      </c>
      <c r="E240" s="434">
        <v>276918.74400000001</v>
      </c>
      <c r="F240" s="434">
        <v>287435.22399999999</v>
      </c>
      <c r="G240" s="419"/>
      <c r="H240" s="419"/>
      <c r="I240" s="419"/>
      <c r="J240" s="147"/>
    </row>
    <row r="241" spans="1:10" s="197" customFormat="1" ht="12.75">
      <c r="C241" s="199">
        <f t="shared" si="34"/>
        <v>2018</v>
      </c>
      <c r="D241" s="434">
        <v>250888.75599999999</v>
      </c>
      <c r="E241" s="434">
        <v>300288.77399999998</v>
      </c>
      <c r="F241" s="419"/>
      <c r="G241" s="419"/>
      <c r="H241" s="419"/>
      <c r="I241" s="419"/>
      <c r="J241" s="147"/>
    </row>
    <row r="242" spans="1:10" s="197" customFormat="1" ht="12.75">
      <c r="C242" s="199">
        <f t="shared" si="34"/>
        <v>2019</v>
      </c>
      <c r="D242" s="434">
        <v>244471.09400000001</v>
      </c>
      <c r="E242" s="419"/>
      <c r="F242" s="419"/>
      <c r="G242" s="419"/>
      <c r="H242" s="419"/>
      <c r="I242" s="419"/>
      <c r="J242" s="147"/>
    </row>
    <row r="243" spans="1:10" s="197" customFormat="1" ht="12.75">
      <c r="E243" s="147"/>
      <c r="F243" s="147"/>
      <c r="G243" s="147"/>
      <c r="H243" s="147"/>
      <c r="I243" s="147"/>
      <c r="J243" s="147"/>
    </row>
    <row r="244" spans="1:10" s="197" customFormat="1" ht="12.75">
      <c r="A244" s="239"/>
      <c r="B244" s="239" t="s">
        <v>327</v>
      </c>
      <c r="C244" s="239"/>
      <c r="D244" s="239"/>
      <c r="E244" s="239"/>
      <c r="F244" s="239"/>
      <c r="G244" s="239"/>
      <c r="H244" s="239"/>
      <c r="I244" s="239"/>
      <c r="J244" s="337"/>
    </row>
    <row r="245" spans="1:10" s="197" customFormat="1" ht="12.75">
      <c r="J245" s="338"/>
    </row>
    <row r="246" spans="1:10" s="197" customFormat="1" ht="12.75">
      <c r="C246" s="199" t="s">
        <v>203</v>
      </c>
      <c r="D246" s="533"/>
      <c r="E246" s="533"/>
      <c r="F246" s="533"/>
      <c r="G246" s="533"/>
      <c r="H246" s="533"/>
      <c r="I246" s="533"/>
      <c r="J246" s="341"/>
    </row>
    <row r="247" spans="1:10" s="197" customFormat="1" ht="12.75">
      <c r="C247" s="26" t="s">
        <v>8</v>
      </c>
      <c r="D247" s="79">
        <f t="shared" ref="D247:I247" si="35">+D232</f>
        <v>15</v>
      </c>
      <c r="E247" s="79">
        <f t="shared" si="35"/>
        <v>27</v>
      </c>
      <c r="F247" s="79">
        <f t="shared" si="35"/>
        <v>39</v>
      </c>
      <c r="G247" s="79">
        <f t="shared" si="35"/>
        <v>51</v>
      </c>
      <c r="H247" s="79">
        <f t="shared" si="35"/>
        <v>63</v>
      </c>
      <c r="I247" s="79">
        <f t="shared" si="35"/>
        <v>75</v>
      </c>
      <c r="J247" s="79"/>
    </row>
    <row r="248" spans="1:10" s="197" customFormat="1" ht="4.5" customHeight="1">
      <c r="J248" s="338"/>
    </row>
    <row r="249" spans="1:10" s="197" customFormat="1" ht="12.75">
      <c r="C249" s="199">
        <f t="shared" ref="C249:C257" si="36">+C234</f>
        <v>2011</v>
      </c>
      <c r="D249" s="75"/>
      <c r="E249" s="75"/>
      <c r="F249" s="75"/>
      <c r="G249" s="417"/>
      <c r="H249" s="417"/>
      <c r="I249" s="434">
        <v>3459474.6091658846</v>
      </c>
      <c r="J249" s="244"/>
    </row>
    <row r="250" spans="1:10" s="197" customFormat="1" ht="12.75">
      <c r="C250" s="199">
        <f t="shared" si="36"/>
        <v>2012</v>
      </c>
      <c r="D250" s="75"/>
      <c r="E250" s="75"/>
      <c r="F250" s="75"/>
      <c r="G250" s="417"/>
      <c r="H250" s="434">
        <v>2949463.7634639139</v>
      </c>
      <c r="I250" s="434">
        <v>3122863.184927911</v>
      </c>
      <c r="J250" s="244"/>
    </row>
    <row r="251" spans="1:10" s="197" customFormat="1" ht="12.75">
      <c r="C251" s="199">
        <f t="shared" si="36"/>
        <v>2013</v>
      </c>
      <c r="D251" s="75"/>
      <c r="E251" s="75"/>
      <c r="F251" s="75"/>
      <c r="G251" s="434">
        <v>2673042.6529115476</v>
      </c>
      <c r="H251" s="434">
        <v>2918539.3502659667</v>
      </c>
      <c r="I251" s="434">
        <v>3072500.5528770592</v>
      </c>
      <c r="J251" s="244"/>
    </row>
    <row r="252" spans="1:10" s="197" customFormat="1" ht="12.75">
      <c r="C252" s="199">
        <f t="shared" si="36"/>
        <v>2014</v>
      </c>
      <c r="D252" s="75"/>
      <c r="E252" s="75"/>
      <c r="F252" s="244">
        <f t="shared" ref="F252" si="37">F237+F211+F141</f>
        <v>2313528.7499863598</v>
      </c>
      <c r="G252" s="244">
        <f t="shared" ref="F252:H253" si="38">G237+G211+G141</f>
        <v>2715846.0775551856</v>
      </c>
      <c r="H252" s="244">
        <f t="shared" si="38"/>
        <v>2954302.9895809842</v>
      </c>
      <c r="I252" s="244">
        <f>I237+I211+I141</f>
        <v>3118810.5920000002</v>
      </c>
      <c r="J252" s="244"/>
    </row>
    <row r="253" spans="1:10" s="197" customFormat="1" ht="12.75">
      <c r="C253" s="199">
        <f t="shared" si="36"/>
        <v>2015</v>
      </c>
      <c r="D253" s="75"/>
      <c r="E253" s="244">
        <f t="shared" ref="D253:E256" si="39">E238+E212+E142</f>
        <v>1732014.466214481</v>
      </c>
      <c r="F253" s="244">
        <f t="shared" si="38"/>
        <v>2357984.4441879718</v>
      </c>
      <c r="G253" s="244">
        <f t="shared" ref="F253:H254" si="40">G238+G212+G142</f>
        <v>2746643.501350495</v>
      </c>
      <c r="H253" s="244">
        <f t="shared" si="40"/>
        <v>2986013.986</v>
      </c>
      <c r="I253" s="75"/>
      <c r="J253" s="75"/>
    </row>
    <row r="254" spans="1:10" s="197" customFormat="1" ht="12.75">
      <c r="C254" s="199">
        <f t="shared" si="36"/>
        <v>2016</v>
      </c>
      <c r="D254" s="244">
        <f t="shared" si="39"/>
        <v>935094.66346062254</v>
      </c>
      <c r="E254" s="244">
        <f t="shared" si="39"/>
        <v>1765289.7100369069</v>
      </c>
      <c r="F254" s="244">
        <f t="shared" si="40"/>
        <v>2359170.142443236</v>
      </c>
      <c r="G254" s="244">
        <f>G239+G213+G143</f>
        <v>2734747.8019999997</v>
      </c>
      <c r="H254" s="75"/>
      <c r="I254" s="75"/>
      <c r="J254" s="75"/>
    </row>
    <row r="255" spans="1:10" s="197" customFormat="1" ht="12.75">
      <c r="C255" s="199">
        <f t="shared" si="36"/>
        <v>2017</v>
      </c>
      <c r="D255" s="244">
        <f t="shared" si="39"/>
        <v>986261.01910161204</v>
      </c>
      <c r="E255" s="244">
        <f t="shared" si="39"/>
        <v>1812198.2362240052</v>
      </c>
      <c r="F255" s="244">
        <f>F240+F214+F144</f>
        <v>2391939.3969999999</v>
      </c>
      <c r="G255" s="75"/>
      <c r="H255" s="75"/>
      <c r="I255" s="75"/>
      <c r="J255" s="75"/>
    </row>
    <row r="256" spans="1:10" s="197" customFormat="1" ht="12.75">
      <c r="C256" s="199">
        <f t="shared" si="36"/>
        <v>2018</v>
      </c>
      <c r="D256" s="244">
        <f t="shared" si="39"/>
        <v>1039767.1858361153</v>
      </c>
      <c r="E256" s="244">
        <f>E241+E215+E145</f>
        <v>1923159.102</v>
      </c>
      <c r="F256" s="75"/>
      <c r="G256" s="75"/>
      <c r="H256" s="75"/>
      <c r="I256" s="75"/>
      <c r="J256" s="75"/>
    </row>
    <row r="257" spans="1:10" s="197" customFormat="1" ht="12.75">
      <c r="C257" s="199">
        <f t="shared" si="36"/>
        <v>2019</v>
      </c>
      <c r="D257" s="244">
        <f>D242+D216+D146</f>
        <v>1042844.622</v>
      </c>
      <c r="E257" s="75"/>
      <c r="F257" s="75"/>
      <c r="G257" s="75"/>
      <c r="H257" s="75"/>
      <c r="I257" s="75"/>
      <c r="J257" s="75"/>
    </row>
    <row r="258" spans="1:10" s="197" customFormat="1" ht="12.75">
      <c r="E258" s="75"/>
      <c r="F258" s="75"/>
      <c r="J258" s="338"/>
    </row>
    <row r="259" spans="1:10" s="197" customFormat="1" ht="12.75">
      <c r="A259" s="239"/>
      <c r="B259" s="239" t="s">
        <v>297</v>
      </c>
      <c r="C259" s="239"/>
      <c r="D259" s="239"/>
      <c r="E259" s="239"/>
      <c r="F259" s="239"/>
      <c r="G259" s="239"/>
      <c r="H259" s="239"/>
      <c r="I259" s="239"/>
      <c r="J259" s="337"/>
    </row>
    <row r="260" spans="1:10" s="197" customFormat="1" ht="12.75">
      <c r="J260" s="338"/>
    </row>
    <row r="261" spans="1:10" s="197" customFormat="1" ht="12.75">
      <c r="C261" s="199" t="s">
        <v>203</v>
      </c>
      <c r="D261" s="533"/>
      <c r="E261" s="533"/>
      <c r="F261" s="533"/>
      <c r="G261" s="533"/>
      <c r="H261" s="533"/>
      <c r="J261" s="338"/>
    </row>
    <row r="262" spans="1:10" s="197" customFormat="1" ht="12.75">
      <c r="C262" s="26" t="s">
        <v>8</v>
      </c>
      <c r="D262" s="79" t="str">
        <f>+D247&amp;"-"&amp;E247</f>
        <v>15-27</v>
      </c>
      <c r="E262" s="79" t="str">
        <f>+E247&amp;"-"&amp;F247</f>
        <v>27-39</v>
      </c>
      <c r="F262" s="79" t="str">
        <f>+F247&amp;"-"&amp;G247</f>
        <v>39-51</v>
      </c>
      <c r="G262" s="79" t="str">
        <f>+G247&amp;"-"&amp;H247</f>
        <v>51-63</v>
      </c>
      <c r="H262" s="79" t="str">
        <f>+H247&amp;"-"&amp;I247</f>
        <v>63-75</v>
      </c>
      <c r="J262" s="338"/>
    </row>
    <row r="263" spans="1:10" s="197" customFormat="1" ht="4.5" customHeight="1">
      <c r="J263" s="338"/>
    </row>
    <row r="264" spans="1:10" s="197" customFormat="1" ht="12.75">
      <c r="C264" s="199">
        <f t="shared" ref="C264:C270" si="41">+C235</f>
        <v>2012</v>
      </c>
      <c r="D264" s="149"/>
      <c r="E264" s="149"/>
      <c r="F264" s="149"/>
      <c r="G264" s="149"/>
      <c r="H264" s="149">
        <f t="shared" ref="D264:H270" si="42">I250/H250</f>
        <v>1.0587901514885381</v>
      </c>
      <c r="J264" s="338"/>
    </row>
    <row r="265" spans="1:10" s="197" customFormat="1" ht="12.75">
      <c r="C265" s="199">
        <f t="shared" si="41"/>
        <v>2013</v>
      </c>
      <c r="D265" s="149"/>
      <c r="E265" s="149"/>
      <c r="F265" s="149"/>
      <c r="G265" s="149">
        <f t="shared" si="42"/>
        <v>1.0918416685521339</v>
      </c>
      <c r="H265" s="149">
        <f t="shared" si="42"/>
        <v>1.0527528274021942</v>
      </c>
      <c r="J265" s="338"/>
    </row>
    <row r="266" spans="1:10" s="197" customFormat="1" ht="12.75">
      <c r="C266" s="199">
        <f t="shared" si="41"/>
        <v>2014</v>
      </c>
      <c r="D266" s="149"/>
      <c r="E266" s="149"/>
      <c r="F266" s="149">
        <f t="shared" si="42"/>
        <v>1.1738976995946984</v>
      </c>
      <c r="G266" s="149">
        <f t="shared" si="42"/>
        <v>1.0878020716993131</v>
      </c>
      <c r="H266" s="149">
        <f t="shared" si="42"/>
        <v>1.0556840659198428</v>
      </c>
      <c r="J266" s="338"/>
    </row>
    <row r="267" spans="1:10" s="197" customFormat="1" ht="12.75">
      <c r="C267" s="199">
        <f t="shared" si="41"/>
        <v>2015</v>
      </c>
      <c r="D267" s="149"/>
      <c r="E267" s="149">
        <f t="shared" si="42"/>
        <v>1.3614115183123272</v>
      </c>
      <c r="F267" s="149">
        <f t="shared" si="42"/>
        <v>1.1648268113559872</v>
      </c>
      <c r="G267" s="149">
        <f t="shared" si="42"/>
        <v>1.087150183317132</v>
      </c>
      <c r="H267" s="149"/>
      <c r="J267" s="338"/>
    </row>
    <row r="268" spans="1:10" s="197" customFormat="1" ht="12.75">
      <c r="C268" s="199">
        <f t="shared" si="41"/>
        <v>2016</v>
      </c>
      <c r="D268" s="149">
        <f t="shared" si="42"/>
        <v>1.8878192540462984</v>
      </c>
      <c r="E268" s="149">
        <f t="shared" si="42"/>
        <v>1.3364209449756057</v>
      </c>
      <c r="F268" s="149">
        <f t="shared" si="42"/>
        <v>1.1591990559730476</v>
      </c>
      <c r="G268" s="149"/>
      <c r="H268" s="149"/>
      <c r="J268" s="338"/>
    </row>
    <row r="269" spans="1:10" s="197" customFormat="1" ht="12.75">
      <c r="C269" s="199">
        <f t="shared" si="41"/>
        <v>2017</v>
      </c>
      <c r="D269" s="149">
        <f t="shared" si="42"/>
        <v>1.8374428281417243</v>
      </c>
      <c r="E269" s="149">
        <f t="shared" si="42"/>
        <v>1.3199104541586879</v>
      </c>
      <c r="F269" s="149"/>
      <c r="G269" s="149"/>
      <c r="H269" s="149"/>
      <c r="J269" s="338"/>
    </row>
    <row r="270" spans="1:10" s="197" customFormat="1" ht="12.75">
      <c r="C270" s="199">
        <f t="shared" si="41"/>
        <v>2018</v>
      </c>
      <c r="D270" s="149">
        <f t="shared" si="42"/>
        <v>1.8496054964972919</v>
      </c>
      <c r="E270" s="149"/>
      <c r="F270" s="149"/>
      <c r="G270" s="149"/>
      <c r="H270" s="149"/>
      <c r="J270" s="338"/>
    </row>
    <row r="271" spans="1:10" s="197" customFormat="1" ht="12.75">
      <c r="C271" s="199"/>
      <c r="J271" s="338"/>
    </row>
    <row r="272" spans="1:10" s="197" customFormat="1" ht="12.75">
      <c r="C272" s="197" t="s">
        <v>266</v>
      </c>
      <c r="D272" s="149">
        <f>D270</f>
        <v>1.8496054964972919</v>
      </c>
      <c r="E272" s="149">
        <f>E269</f>
        <v>1.3199104541586879</v>
      </c>
      <c r="F272" s="149">
        <f>F268</f>
        <v>1.1591990559730476</v>
      </c>
      <c r="G272" s="149">
        <f>G267</f>
        <v>1.087150183317132</v>
      </c>
      <c r="H272" s="149">
        <f>H266</f>
        <v>1.0556840659198428</v>
      </c>
      <c r="J272" s="338"/>
    </row>
    <row r="273" spans="1:11" s="197" customFormat="1" ht="12.75">
      <c r="J273" s="338"/>
    </row>
    <row r="274" spans="1:11" s="197" customFormat="1" ht="39.950000000000003" customHeight="1">
      <c r="A274" s="148" t="s">
        <v>174</v>
      </c>
      <c r="B274" s="543" t="s">
        <v>328</v>
      </c>
      <c r="C274" s="543"/>
      <c r="D274" s="543"/>
      <c r="E274" s="543"/>
      <c r="F274" s="543"/>
      <c r="G274" s="543"/>
      <c r="H274" s="543"/>
      <c r="I274" s="543"/>
      <c r="J274" s="543"/>
    </row>
    <row r="275" spans="1:11" s="197" customFormat="1" ht="12.75">
      <c r="J275" s="338"/>
    </row>
    <row r="276" spans="1:11" s="197" customFormat="1" ht="12.75">
      <c r="B276" s="342" t="s">
        <v>291</v>
      </c>
      <c r="C276" s="342"/>
      <c r="D276" s="342"/>
      <c r="E276" s="342"/>
      <c r="F276" s="342"/>
      <c r="G276" s="342"/>
      <c r="H276" s="342"/>
      <c r="I276" s="342"/>
      <c r="J276" s="338"/>
    </row>
    <row r="277" spans="1:11" ht="45" customHeight="1">
      <c r="A277" s="227"/>
      <c r="B277" s="227"/>
      <c r="C277" s="227"/>
      <c r="D277" s="231"/>
      <c r="E277" s="231"/>
      <c r="F277" s="231"/>
      <c r="G277" s="231"/>
      <c r="H277" s="227"/>
      <c r="K277" s="148" t="s">
        <v>395</v>
      </c>
    </row>
    <row r="278" spans="1:11" s="197" customFormat="1" ht="13.15">
      <c r="A278" s="279" t="s">
        <v>35</v>
      </c>
      <c r="B278" s="279"/>
      <c r="C278" s="279"/>
      <c r="D278" s="279"/>
      <c r="E278" s="279"/>
      <c r="F278" s="279"/>
      <c r="G278" s="279"/>
      <c r="H278" s="279"/>
      <c r="I278" s="279"/>
      <c r="J278" s="279"/>
      <c r="K278" s="279"/>
    </row>
    <row r="279" spans="1:11" s="197" customFormat="1" ht="13.15">
      <c r="A279" s="279" t="s">
        <v>262</v>
      </c>
      <c r="B279" s="279"/>
      <c r="C279" s="279"/>
      <c r="D279" s="279"/>
      <c r="E279" s="279"/>
      <c r="F279" s="279"/>
      <c r="G279" s="279"/>
      <c r="H279" s="279"/>
      <c r="I279" s="279"/>
      <c r="J279" s="279"/>
      <c r="K279" s="279"/>
    </row>
    <row r="280" spans="1:11" s="197" customFormat="1" ht="13.15">
      <c r="A280" s="279" t="s">
        <v>263</v>
      </c>
      <c r="B280" s="279"/>
      <c r="C280" s="279"/>
      <c r="D280" s="279"/>
      <c r="E280" s="279"/>
      <c r="F280" s="279"/>
      <c r="G280" s="279"/>
      <c r="H280" s="279"/>
      <c r="I280" s="279"/>
      <c r="J280" s="279"/>
      <c r="K280" s="279"/>
    </row>
    <row r="281" spans="1:11" s="197" customFormat="1" ht="13.15">
      <c r="A281" s="195"/>
      <c r="B281" s="195"/>
      <c r="C281" s="195"/>
      <c r="D281" s="195"/>
      <c r="E281" s="195"/>
      <c r="F281" s="195"/>
      <c r="G281" s="195"/>
      <c r="H281" s="195"/>
      <c r="I281" s="195"/>
      <c r="J281" s="340"/>
      <c r="K281" s="195"/>
    </row>
    <row r="282" spans="1:11" s="197" customFormat="1" ht="13.15">
      <c r="A282" s="195"/>
      <c r="B282" s="195"/>
      <c r="C282" s="195"/>
      <c r="D282" s="195"/>
      <c r="E282" s="195"/>
      <c r="F282" s="195"/>
      <c r="G282" s="195"/>
      <c r="H282" s="195"/>
      <c r="I282" s="195"/>
      <c r="J282" s="340"/>
      <c r="K282" s="195"/>
    </row>
    <row r="283" spans="1:11" s="197" customFormat="1" ht="12.75">
      <c r="A283" s="239"/>
      <c r="B283" s="239" t="s">
        <v>329</v>
      </c>
      <c r="C283" s="239"/>
      <c r="D283" s="239"/>
      <c r="E283" s="239"/>
      <c r="F283" s="239"/>
      <c r="G283" s="239"/>
      <c r="H283" s="239"/>
      <c r="J283" s="338"/>
    </row>
    <row r="284" spans="1:11" s="197" customFormat="1" ht="12.75">
      <c r="J284" s="338"/>
    </row>
    <row r="285" spans="1:11" s="197" customFormat="1" ht="12.75">
      <c r="C285" s="199" t="s">
        <v>203</v>
      </c>
      <c r="D285" s="533"/>
      <c r="E285" s="533"/>
      <c r="F285" s="533"/>
      <c r="G285" s="533"/>
      <c r="H285" s="533"/>
      <c r="J285" s="338"/>
    </row>
    <row r="286" spans="1:11" s="197" customFormat="1" ht="12.75">
      <c r="C286" s="26" t="s">
        <v>8</v>
      </c>
      <c r="D286" s="432" t="s">
        <v>511</v>
      </c>
      <c r="E286" s="432" t="s">
        <v>512</v>
      </c>
      <c r="F286" s="432" t="s">
        <v>513</v>
      </c>
      <c r="G286" s="432" t="s">
        <v>514</v>
      </c>
      <c r="H286" s="432" t="s">
        <v>515</v>
      </c>
      <c r="J286" s="338"/>
    </row>
    <row r="287" spans="1:11" s="197" customFormat="1" ht="4.5" customHeight="1">
      <c r="D287" s="433"/>
      <c r="E287" s="433"/>
      <c r="F287" s="433"/>
      <c r="G287" s="433"/>
      <c r="H287" s="433"/>
      <c r="J287" s="338"/>
    </row>
    <row r="288" spans="1:11" s="197" customFormat="1" ht="12.75">
      <c r="C288" s="199">
        <f t="shared" ref="C288:C294" si="43">C264</f>
        <v>2012</v>
      </c>
      <c r="D288" s="422"/>
      <c r="E288" s="422"/>
      <c r="F288" s="422"/>
      <c r="G288" s="422"/>
      <c r="H288" s="435">
        <v>1.0753687513517995</v>
      </c>
      <c r="J288" s="338"/>
    </row>
    <row r="289" spans="1:11" s="197" customFormat="1" ht="12.75">
      <c r="C289" s="199">
        <f t="shared" si="43"/>
        <v>2013</v>
      </c>
      <c r="D289" s="422"/>
      <c r="E289" s="422"/>
      <c r="F289" s="422"/>
      <c r="G289" s="435">
        <v>1.1099955531066914</v>
      </c>
      <c r="H289" s="435">
        <v>1.0674065674159197</v>
      </c>
      <c r="J289" s="338"/>
    </row>
    <row r="290" spans="1:11" s="197" customFormat="1" ht="12.75">
      <c r="C290" s="199">
        <f t="shared" si="43"/>
        <v>2014</v>
      </c>
      <c r="D290" s="422"/>
      <c r="E290" s="422"/>
      <c r="F290" s="435">
        <v>1.1936212777901811</v>
      </c>
      <c r="G290" s="435">
        <v>1.1045000469839947</v>
      </c>
      <c r="H290" s="435">
        <v>1.066665752085175</v>
      </c>
      <c r="J290" s="338"/>
    </row>
    <row r="291" spans="1:11" s="197" customFormat="1" ht="12.75">
      <c r="C291" s="199">
        <f t="shared" si="43"/>
        <v>2015</v>
      </c>
      <c r="D291" s="422"/>
      <c r="E291" s="435">
        <v>1.3589502945437983</v>
      </c>
      <c r="F291" s="435">
        <v>1.1846710967176199</v>
      </c>
      <c r="G291" s="435">
        <v>1.0963837052552543</v>
      </c>
      <c r="H291" s="422"/>
      <c r="J291" s="338"/>
    </row>
    <row r="292" spans="1:11" s="197" customFormat="1" ht="12.75">
      <c r="C292" s="199">
        <f t="shared" si="43"/>
        <v>2016</v>
      </c>
      <c r="D292" s="435">
        <v>1.8762660392570263</v>
      </c>
      <c r="E292" s="435">
        <v>1.3394779953716967</v>
      </c>
      <c r="F292" s="435">
        <v>1.1682259800894148</v>
      </c>
      <c r="G292" s="422"/>
      <c r="H292" s="422"/>
      <c r="J292" s="338"/>
    </row>
    <row r="293" spans="1:11" s="197" customFormat="1" ht="12.75">
      <c r="C293" s="199">
        <f t="shared" si="43"/>
        <v>2017</v>
      </c>
      <c r="D293" s="435">
        <v>1.838139038841949</v>
      </c>
      <c r="E293" s="435">
        <v>1.3199275532344352</v>
      </c>
      <c r="F293" s="422"/>
      <c r="G293" s="422"/>
      <c r="H293" s="422"/>
      <c r="J293" s="338"/>
    </row>
    <row r="294" spans="1:11" s="197" customFormat="1" ht="12.75">
      <c r="C294" s="199">
        <f t="shared" si="43"/>
        <v>2018</v>
      </c>
      <c r="D294" s="435">
        <v>1.8496563571346507</v>
      </c>
      <c r="E294" s="422"/>
      <c r="F294" s="422"/>
      <c r="G294" s="422"/>
      <c r="H294" s="422"/>
      <c r="J294" s="338"/>
    </row>
    <row r="295" spans="1:11" s="197" customFormat="1" ht="13.15">
      <c r="A295" s="195"/>
      <c r="B295" s="195"/>
      <c r="C295" s="195"/>
      <c r="E295" s="195"/>
      <c r="F295" s="195"/>
      <c r="G295" s="195"/>
      <c r="H295" s="195"/>
      <c r="I295" s="195"/>
      <c r="J295" s="340"/>
      <c r="K295" s="195"/>
    </row>
    <row r="296" spans="1:11" s="197" customFormat="1" ht="12.75">
      <c r="A296" s="239"/>
      <c r="B296" s="239" t="s">
        <v>330</v>
      </c>
      <c r="C296" s="239"/>
      <c r="D296" s="239"/>
      <c r="E296" s="239"/>
      <c r="F296" s="239"/>
      <c r="G296" s="239"/>
      <c r="H296" s="239"/>
      <c r="J296" s="338"/>
    </row>
    <row r="297" spans="1:11" s="197" customFormat="1" ht="12.75">
      <c r="J297" s="338"/>
    </row>
    <row r="298" spans="1:11" s="197" customFormat="1" ht="12.75">
      <c r="C298" s="199" t="s">
        <v>203</v>
      </c>
      <c r="D298" s="533"/>
      <c r="E298" s="533"/>
      <c r="F298" s="533"/>
      <c r="G298" s="533"/>
      <c r="H298" s="533"/>
      <c r="I298" s="61"/>
      <c r="J298" s="341"/>
    </row>
    <row r="299" spans="1:11" s="197" customFormat="1" ht="12.75">
      <c r="C299" s="26" t="s">
        <v>8</v>
      </c>
      <c r="D299" s="79" t="str">
        <f>D286</f>
        <v>15-27</v>
      </c>
      <c r="E299" s="79" t="str">
        <f>E286</f>
        <v>27-39</v>
      </c>
      <c r="F299" s="79" t="str">
        <f>F286</f>
        <v>39-51</v>
      </c>
      <c r="G299" s="79" t="str">
        <f>G286</f>
        <v>51-63</v>
      </c>
      <c r="H299" s="79" t="str">
        <f>H286</f>
        <v>63-75</v>
      </c>
      <c r="J299" s="338"/>
      <c r="K299" s="26"/>
    </row>
    <row r="300" spans="1:11" s="197" customFormat="1" ht="4.5" customHeight="1">
      <c r="J300" s="338"/>
    </row>
    <row r="301" spans="1:11" s="197" customFormat="1" ht="12.75">
      <c r="C301" s="199">
        <f t="shared" ref="C301:C307" si="44">+C288</f>
        <v>2012</v>
      </c>
      <c r="D301" s="151"/>
      <c r="E301" s="151"/>
      <c r="F301" s="151"/>
      <c r="G301" s="151"/>
      <c r="H301" s="151">
        <f t="shared" ref="H301" si="45">H264/H288-1</f>
        <v>-1.5416665067142121E-2</v>
      </c>
      <c r="J301" s="338"/>
      <c r="K301" s="146"/>
    </row>
    <row r="302" spans="1:11" s="197" customFormat="1" ht="12.75">
      <c r="C302" s="199">
        <f t="shared" si="44"/>
        <v>2013</v>
      </c>
      <c r="D302" s="151"/>
      <c r="E302" s="151"/>
      <c r="F302" s="151"/>
      <c r="G302" s="151">
        <f t="shared" ref="G302:H302" si="46">G265/G289-1</f>
        <v>-1.6354916471284731E-2</v>
      </c>
      <c r="H302" s="151">
        <f t="shared" si="46"/>
        <v>-1.3728358491554515E-2</v>
      </c>
      <c r="J302" s="338"/>
      <c r="K302" s="146"/>
    </row>
    <row r="303" spans="1:11" s="197" customFormat="1" ht="12.75">
      <c r="C303" s="199">
        <f t="shared" si="44"/>
        <v>2014</v>
      </c>
      <c r="D303" s="151"/>
      <c r="E303" s="151"/>
      <c r="F303" s="151">
        <f t="shared" ref="F303:G303" si="47">F266/F290-1</f>
        <v>-1.6524150970229079E-2</v>
      </c>
      <c r="G303" s="151">
        <f t="shared" si="47"/>
        <v>-1.5118129990377094E-2</v>
      </c>
      <c r="H303" s="151">
        <f>H266/H290-1</f>
        <v>-1.0295339607430565E-2</v>
      </c>
      <c r="J303" s="338"/>
      <c r="K303" s="146"/>
    </row>
    <row r="304" spans="1:11" s="197" customFormat="1" ht="12.75">
      <c r="C304" s="199">
        <f t="shared" si="44"/>
        <v>2015</v>
      </c>
      <c r="D304" s="151"/>
      <c r="E304" s="151">
        <f t="shared" ref="D304:E306" si="48">E267/E291-1</f>
        <v>1.8111212591149783E-3</v>
      </c>
      <c r="F304" s="151">
        <f t="shared" ref="F304" si="49">F267/F291-1</f>
        <v>-1.6750881672234152E-2</v>
      </c>
      <c r="G304" s="151">
        <f>G267/G291-1</f>
        <v>-8.4217978558634998E-3</v>
      </c>
      <c r="H304" s="151"/>
      <c r="J304" s="338"/>
      <c r="K304" s="146"/>
    </row>
    <row r="305" spans="1:11" s="197" customFormat="1" ht="12.75">
      <c r="C305" s="199">
        <f t="shared" si="44"/>
        <v>2016</v>
      </c>
      <c r="D305" s="151">
        <f t="shared" si="48"/>
        <v>6.1575568429768079E-3</v>
      </c>
      <c r="E305" s="151">
        <f t="shared" si="48"/>
        <v>-2.2822699638620492E-3</v>
      </c>
      <c r="F305" s="151">
        <f>F268/F292-1</f>
        <v>-7.7270359247414433E-3</v>
      </c>
      <c r="G305" s="151"/>
      <c r="H305" s="151"/>
      <c r="J305" s="338"/>
      <c r="K305" s="146"/>
    </row>
    <row r="306" spans="1:11" s="197" customFormat="1" ht="12.75">
      <c r="C306" s="199">
        <f t="shared" si="44"/>
        <v>2017</v>
      </c>
      <c r="D306" s="151">
        <f t="shared" si="48"/>
        <v>-3.7875845380186401E-4</v>
      </c>
      <c r="E306" s="151">
        <f>E269/E293-1</f>
        <v>-1.2954556259825445E-5</v>
      </c>
      <c r="F306" s="151"/>
      <c r="G306" s="151"/>
      <c r="H306" s="151"/>
      <c r="J306" s="338"/>
      <c r="K306" s="146"/>
    </row>
    <row r="307" spans="1:11" s="197" customFormat="1" ht="12.75">
      <c r="C307" s="199">
        <f t="shared" si="44"/>
        <v>2018</v>
      </c>
      <c r="D307" s="151">
        <f>D270/D294-1</f>
        <v>-2.7497344121552025E-5</v>
      </c>
      <c r="E307" s="151"/>
      <c r="F307" s="151"/>
      <c r="G307" s="151"/>
      <c r="H307" s="151"/>
      <c r="J307" s="338"/>
      <c r="K307" s="146"/>
    </row>
    <row r="308" spans="1:11" s="197" customFormat="1" ht="12.75">
      <c r="C308" s="199"/>
      <c r="E308" s="151"/>
      <c r="F308" s="151"/>
      <c r="G308" s="151"/>
      <c r="H308" s="151"/>
      <c r="J308" s="338"/>
      <c r="K308" s="146"/>
    </row>
    <row r="309" spans="1:11" s="197" customFormat="1" ht="12.75" customHeight="1">
      <c r="A309" s="362"/>
      <c r="B309" s="239" t="s">
        <v>418</v>
      </c>
      <c r="C309" s="239"/>
      <c r="D309" s="239"/>
      <c r="E309" s="239"/>
      <c r="F309" s="239"/>
      <c r="G309" s="239"/>
      <c r="H309" s="239"/>
      <c r="I309" s="194"/>
      <c r="J309" s="337"/>
      <c r="K309" s="194"/>
    </row>
    <row r="310" spans="1:11" s="360" customFormat="1" ht="12.75" customHeight="1">
      <c r="A310" s="239"/>
      <c r="B310" s="239" t="s">
        <v>417</v>
      </c>
      <c r="C310" s="239"/>
      <c r="D310" s="239"/>
      <c r="E310" s="239"/>
      <c r="F310" s="239"/>
      <c r="G310" s="239"/>
      <c r="H310" s="239"/>
      <c r="I310" s="361"/>
      <c r="J310" s="361"/>
      <c r="K310" s="361"/>
    </row>
    <row r="311" spans="1:11" s="197" customFormat="1" ht="12.75">
      <c r="J311" s="338"/>
    </row>
    <row r="312" spans="1:11" s="197" customFormat="1" ht="12.75">
      <c r="C312" s="199" t="s">
        <v>203</v>
      </c>
      <c r="D312" s="533"/>
      <c r="E312" s="533"/>
      <c r="F312" s="533"/>
      <c r="G312" s="533"/>
      <c r="H312" s="533"/>
      <c r="J312" s="338"/>
    </row>
    <row r="313" spans="1:11" s="197" customFormat="1" ht="12.75">
      <c r="C313" s="26" t="s">
        <v>8</v>
      </c>
      <c r="D313" s="79" t="str">
        <f>D299</f>
        <v>15-27</v>
      </c>
      <c r="E313" s="79" t="str">
        <f>E299</f>
        <v>27-39</v>
      </c>
      <c r="F313" s="79" t="str">
        <f>F299</f>
        <v>39-51</v>
      </c>
      <c r="G313" s="79" t="str">
        <f>G299</f>
        <v>51-63</v>
      </c>
      <c r="H313" s="79" t="str">
        <f>H299</f>
        <v>63-75</v>
      </c>
      <c r="J313" s="338"/>
    </row>
    <row r="314" spans="1:11" s="197" customFormat="1" ht="4.5" customHeight="1">
      <c r="J314" s="338"/>
    </row>
    <row r="315" spans="1:11" s="197" customFormat="1" ht="12" customHeight="1">
      <c r="C315" s="199">
        <f t="shared" ref="C315:C320" si="50">+C288</f>
        <v>2012</v>
      </c>
      <c r="D315" s="420"/>
      <c r="E315" s="420"/>
      <c r="F315" s="420"/>
      <c r="G315" s="420"/>
      <c r="H315" s="436">
        <v>1.0653191683973522</v>
      </c>
      <c r="J315" s="338"/>
    </row>
    <row r="316" spans="1:11" s="197" customFormat="1" ht="12.75">
      <c r="C316" s="199">
        <f t="shared" si="50"/>
        <v>2013</v>
      </c>
      <c r="D316" s="420"/>
      <c r="E316" s="420"/>
      <c r="F316" s="420"/>
      <c r="G316" s="436">
        <v>1.1006988484686324</v>
      </c>
      <c r="H316" s="436">
        <v>1.0592557429800704</v>
      </c>
      <c r="J316" s="338"/>
    </row>
    <row r="317" spans="1:11" s="197" customFormat="1" ht="12.75">
      <c r="C317" s="199">
        <f t="shared" si="50"/>
        <v>2014</v>
      </c>
      <c r="D317" s="420"/>
      <c r="E317" s="420"/>
      <c r="F317" s="436">
        <v>1.1831214463828146</v>
      </c>
      <c r="G317" s="436">
        <v>1.0951886394507007</v>
      </c>
      <c r="H317" s="436">
        <v>1.0589839866200494</v>
      </c>
      <c r="J317" s="338"/>
    </row>
    <row r="318" spans="1:11" s="197" customFormat="1" ht="12.75">
      <c r="C318" s="199">
        <f t="shared" si="50"/>
        <v>2015</v>
      </c>
      <c r="D318" s="420"/>
      <c r="E318" s="436">
        <v>1.367472180518692</v>
      </c>
      <c r="F318" s="436">
        <v>1.1700664508100413</v>
      </c>
      <c r="G318" s="436">
        <v>1.0897444441564059</v>
      </c>
      <c r="H318" s="420"/>
      <c r="J318" s="338"/>
    </row>
    <row r="319" spans="1:11" s="197" customFormat="1" ht="12.75">
      <c r="C319" s="199">
        <f t="shared" si="50"/>
        <v>2016</v>
      </c>
      <c r="D319" s="436">
        <v>1.8935885219784823</v>
      </c>
      <c r="E319" s="436">
        <v>1.3409326291685695</v>
      </c>
      <c r="F319" s="436">
        <v>1.1609593679680525</v>
      </c>
      <c r="G319" s="420"/>
      <c r="H319" s="420"/>
      <c r="J319" s="338"/>
    </row>
    <row r="320" spans="1:11" s="197" customFormat="1" ht="12.75">
      <c r="C320" s="199">
        <f t="shared" si="50"/>
        <v>2017</v>
      </c>
      <c r="D320" s="436">
        <v>1.8432432035213826</v>
      </c>
      <c r="E320" s="436">
        <v>1.3210247156631669</v>
      </c>
      <c r="F320" s="420"/>
      <c r="G320" s="420"/>
      <c r="H320" s="420"/>
      <c r="J320" s="338"/>
    </row>
    <row r="321" spans="1:11" s="197" customFormat="1" ht="12.75">
      <c r="C321" s="199">
        <f>+C294</f>
        <v>2018</v>
      </c>
      <c r="D321" s="436">
        <v>1.8489491574107193</v>
      </c>
      <c r="E321" s="420"/>
      <c r="F321" s="420"/>
      <c r="G321" s="420"/>
      <c r="H321" s="420"/>
      <c r="J321" s="338"/>
    </row>
    <row r="322" spans="1:11" s="197" customFormat="1" ht="12.75">
      <c r="C322" s="199"/>
      <c r="D322" s="152"/>
      <c r="J322" s="338"/>
    </row>
    <row r="323" spans="1:11" s="197" customFormat="1" ht="12.75">
      <c r="C323" s="197" t="s">
        <v>266</v>
      </c>
      <c r="D323" s="149">
        <f>D321</f>
        <v>1.8489491574107193</v>
      </c>
      <c r="E323" s="149">
        <f>E320</f>
        <v>1.3210247156631669</v>
      </c>
      <c r="F323" s="149">
        <f>F319</f>
        <v>1.1609593679680525</v>
      </c>
      <c r="G323" s="149">
        <f>G318</f>
        <v>1.0897444441564059</v>
      </c>
      <c r="H323" s="149">
        <f>H317</f>
        <v>1.0589839866200494</v>
      </c>
      <c r="J323" s="338"/>
    </row>
    <row r="324" spans="1:11" s="197" customFormat="1" ht="12.75">
      <c r="C324" s="197" t="s">
        <v>281</v>
      </c>
      <c r="D324" s="149">
        <f>AVERAGE(D319:D321)</f>
        <v>1.8619269609701947</v>
      </c>
      <c r="E324" s="149">
        <f>AVERAGE(E318:E320)</f>
        <v>1.3431431751168095</v>
      </c>
      <c r="F324" s="149">
        <f>AVERAGE(F317:F319)</f>
        <v>1.1713824217203028</v>
      </c>
      <c r="G324" s="149">
        <f>AVERAGE(G316:G318)</f>
        <v>1.0952106440252465</v>
      </c>
      <c r="H324" s="149">
        <f>AVERAGE(H315:H317)</f>
        <v>1.0611862993324905</v>
      </c>
      <c r="J324" s="338"/>
    </row>
    <row r="325" spans="1:11" s="197" customFormat="1" ht="12.75">
      <c r="A325" s="272"/>
      <c r="B325" s="272"/>
      <c r="C325" s="272"/>
      <c r="D325" s="153"/>
      <c r="E325" s="153"/>
      <c r="F325" s="153"/>
      <c r="G325" s="153"/>
      <c r="H325" s="153"/>
      <c r="I325" s="272"/>
      <c r="J325" s="272"/>
      <c r="K325" s="272"/>
    </row>
    <row r="326" spans="1:11" s="197" customFormat="1" ht="39" customHeight="1">
      <c r="A326" s="148" t="s">
        <v>98</v>
      </c>
      <c r="B326" s="534" t="s">
        <v>298</v>
      </c>
      <c r="C326" s="534"/>
      <c r="D326" s="534"/>
      <c r="E326" s="534"/>
      <c r="F326" s="534"/>
      <c r="G326" s="534"/>
      <c r="H326" s="534"/>
      <c r="I326" s="534"/>
      <c r="J326" s="534"/>
    </row>
    <row r="327" spans="1:11" s="197" customFormat="1" ht="12.75" customHeight="1">
      <c r="A327" s="148" t="s">
        <v>284</v>
      </c>
      <c r="B327" s="534" t="s">
        <v>299</v>
      </c>
      <c r="C327" s="534"/>
      <c r="D327" s="534"/>
      <c r="E327" s="534"/>
      <c r="F327" s="534"/>
      <c r="G327" s="534"/>
      <c r="H327" s="534"/>
      <c r="I327" s="534"/>
      <c r="J327" s="534"/>
    </row>
    <row r="328" spans="1:11" s="197" customFormat="1" ht="28.5" customHeight="1">
      <c r="A328" s="148" t="s">
        <v>286</v>
      </c>
      <c r="B328" s="534" t="s">
        <v>305</v>
      </c>
      <c r="C328" s="534"/>
      <c r="D328" s="534"/>
      <c r="E328" s="534"/>
      <c r="F328" s="534"/>
      <c r="G328" s="534"/>
      <c r="H328" s="534"/>
      <c r="I328" s="534"/>
      <c r="J328" s="534"/>
    </row>
    <row r="329" spans="1:11" s="197" customFormat="1" ht="12.75">
      <c r="A329" s="200"/>
      <c r="B329" s="200"/>
      <c r="C329" s="200"/>
      <c r="D329" s="153"/>
      <c r="E329" s="153"/>
      <c r="F329" s="153"/>
      <c r="G329" s="153"/>
      <c r="H329" s="153"/>
      <c r="I329" s="200"/>
      <c r="J329" s="272"/>
      <c r="K329" s="200"/>
    </row>
    <row r="330" spans="1:11" s="197" customFormat="1" ht="12.75">
      <c r="B330" s="200" t="s">
        <v>291</v>
      </c>
      <c r="C330" s="61"/>
      <c r="D330" s="62"/>
      <c r="E330" s="62"/>
      <c r="F330" s="62"/>
      <c r="G330" s="62"/>
      <c r="H330" s="62"/>
      <c r="I330" s="200"/>
      <c r="J330" s="272"/>
      <c r="K330" s="200"/>
    </row>
  </sheetData>
  <mergeCells count="30">
    <mergeCell ref="B327:J327"/>
    <mergeCell ref="B328:J328"/>
    <mergeCell ref="B218:J218"/>
    <mergeCell ref="B164:J164"/>
    <mergeCell ref="B163:J163"/>
    <mergeCell ref="D261:H261"/>
    <mergeCell ref="D312:H312"/>
    <mergeCell ref="D285:H285"/>
    <mergeCell ref="D298:H298"/>
    <mergeCell ref="B274:J274"/>
    <mergeCell ref="B326:J326"/>
    <mergeCell ref="B219:J219"/>
    <mergeCell ref="D246:I246"/>
    <mergeCell ref="D231:I231"/>
    <mergeCell ref="D205:I205"/>
    <mergeCell ref="D175:I175"/>
    <mergeCell ref="B109:J109"/>
    <mergeCell ref="B108:J108"/>
    <mergeCell ref="D65:I65"/>
    <mergeCell ref="D8:I8"/>
    <mergeCell ref="D23:I23"/>
    <mergeCell ref="D43:I43"/>
    <mergeCell ref="D80:I80"/>
    <mergeCell ref="D95:I95"/>
    <mergeCell ref="D191:I191"/>
    <mergeCell ref="B220:J220"/>
    <mergeCell ref="B165:I165"/>
    <mergeCell ref="D120:I120"/>
    <mergeCell ref="D135:I135"/>
    <mergeCell ref="D150:I150"/>
  </mergeCells>
  <printOptions horizontalCentered="1"/>
  <pageMargins left="0.25" right="0.25" top="0.33" bottom="0.5" header="0.3" footer="0.3"/>
  <pageSetup scale="85" orientation="portrait" blackAndWhite="1" r:id="rId1"/>
  <headerFooter scaleWithDoc="0"/>
  <rowBreaks count="5" manualBreakCount="5">
    <brk id="56" max="16383" man="1"/>
    <brk id="111" max="10" man="1"/>
    <brk id="166" max="16383" man="1"/>
    <brk id="222" max="16383" man="1"/>
    <brk id="27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45"/>
  <sheetViews>
    <sheetView workbookViewId="0">
      <selection sqref="A1:G1"/>
    </sheetView>
  </sheetViews>
  <sheetFormatPr defaultColWidth="9.1328125" defaultRowHeight="12.75"/>
  <cols>
    <col min="1" max="1" width="8.59765625" style="110" customWidth="1"/>
    <col min="2" max="2" width="11.73046875" style="110" customWidth="1"/>
    <col min="3" max="3" width="12" style="110" customWidth="1"/>
    <col min="4" max="5" width="11.73046875" style="110" customWidth="1"/>
    <col min="6" max="6" width="11.86328125" style="110" customWidth="1"/>
    <col min="7" max="7" width="8.59765625" style="110" customWidth="1"/>
    <col min="8" max="16384" width="9.1328125" style="110"/>
  </cols>
  <sheetData>
    <row r="1" spans="1:7" ht="13.15">
      <c r="A1" s="544" t="s">
        <v>43</v>
      </c>
      <c r="B1" s="544"/>
      <c r="C1" s="544"/>
      <c r="D1" s="544"/>
      <c r="E1" s="544"/>
      <c r="F1" s="544"/>
      <c r="G1" s="544"/>
    </row>
    <row r="2" spans="1:7" ht="13.15">
      <c r="A2" s="112"/>
      <c r="B2" s="544" t="s">
        <v>310</v>
      </c>
      <c r="C2" s="544"/>
      <c r="D2" s="544"/>
      <c r="E2" s="544"/>
      <c r="F2" s="544"/>
      <c r="G2" s="112"/>
    </row>
    <row r="3" spans="1:7" ht="13.15">
      <c r="A3" s="112"/>
      <c r="B3" s="544" t="s">
        <v>516</v>
      </c>
      <c r="C3" s="544"/>
      <c r="D3" s="544"/>
      <c r="E3" s="544"/>
      <c r="F3" s="544"/>
      <c r="G3" s="112"/>
    </row>
    <row r="4" spans="1:7">
      <c r="A4" s="112"/>
      <c r="B4" s="39"/>
      <c r="C4" s="38"/>
      <c r="D4" s="38"/>
      <c r="E4" s="38"/>
      <c r="F4" s="38"/>
      <c r="G4" s="112"/>
    </row>
    <row r="5" spans="1:7">
      <c r="A5" s="112"/>
      <c r="B5" s="39"/>
      <c r="C5" s="39"/>
      <c r="D5" s="545" t="s">
        <v>44</v>
      </c>
      <c r="E5" s="545"/>
      <c r="F5" s="39"/>
      <c r="G5" s="112"/>
    </row>
    <row r="6" spans="1:7">
      <c r="A6" s="112"/>
      <c r="B6" s="41"/>
      <c r="C6" s="41"/>
      <c r="D6" s="41"/>
      <c r="E6" s="413"/>
      <c r="F6" s="41"/>
      <c r="G6" s="112"/>
    </row>
    <row r="7" spans="1:7">
      <c r="A7" s="112"/>
      <c r="B7" s="41"/>
      <c r="C7" s="40" t="s">
        <v>45</v>
      </c>
      <c r="D7" s="40" t="s">
        <v>46</v>
      </c>
      <c r="E7" s="40" t="s">
        <v>47</v>
      </c>
      <c r="F7" s="40" t="s">
        <v>48</v>
      </c>
      <c r="G7" s="112"/>
    </row>
    <row r="8" spans="1:7" ht="38.25" customHeight="1">
      <c r="A8" s="112"/>
      <c r="B8" s="379" t="s">
        <v>357</v>
      </c>
      <c r="C8" s="379" t="s">
        <v>400</v>
      </c>
      <c r="D8" s="41" t="s">
        <v>382</v>
      </c>
      <c r="E8" s="380" t="s">
        <v>21</v>
      </c>
      <c r="F8" s="379" t="s">
        <v>345</v>
      </c>
      <c r="G8" s="112"/>
    </row>
    <row r="9" spans="1:7">
      <c r="A9" s="112"/>
      <c r="B9" s="28"/>
      <c r="C9" s="32"/>
      <c r="D9" s="381"/>
      <c r="E9" s="29"/>
      <c r="F9" s="40" t="s">
        <v>346</v>
      </c>
      <c r="G9" s="112"/>
    </row>
    <row r="10" spans="1:7">
      <c r="A10" s="112"/>
      <c r="B10" s="28">
        <v>1987</v>
      </c>
      <c r="C10" s="32">
        <f>'Exhibit 1'!$C6/'Exhibit 1'!$B6</f>
        <v>0.34447873318777983</v>
      </c>
      <c r="D10" s="29">
        <f>INDEX('Exhibit 2.5.2'!$B$24:$V$24,COUNT($B10:$B$21))</f>
        <v>1.000254648708039</v>
      </c>
      <c r="E10" s="32">
        <f>INDEX('Exhibit 2.5.2'!$B$25:$V$25,COUNT($B10:$B$21))</f>
        <v>1.0047671321193101</v>
      </c>
      <c r="F10" s="32">
        <f t="shared" ref="F10:F42" si="0">C10*E10</f>
        <v>0.34612090882117857</v>
      </c>
      <c r="G10" s="129"/>
    </row>
    <row r="11" spans="1:7">
      <c r="A11" s="112"/>
      <c r="B11" s="28">
        <f t="shared" ref="B11:B42" si="1">+B10+1</f>
        <v>1988</v>
      </c>
      <c r="C11" s="32">
        <f>'Exhibit 1'!$C7/'Exhibit 1'!$B7</f>
        <v>0.32942775466677415</v>
      </c>
      <c r="D11" s="29">
        <f>INDEX('Exhibit 2.5.2'!$B$24:$V$24,COUNT($B11:$B$21))</f>
        <v>1.000254648708039</v>
      </c>
      <c r="E11" s="32">
        <f>INDEX('Exhibit 2.5.2'!$B$25:$V$25,COUNT($B11:$B$21))</f>
        <v>1.0050229947713845</v>
      </c>
      <c r="F11" s="32">
        <f t="shared" si="0"/>
        <v>0.33108246855601431</v>
      </c>
      <c r="G11" s="129"/>
    </row>
    <row r="12" spans="1:7">
      <c r="A12" s="112"/>
      <c r="B12" s="28">
        <f t="shared" si="1"/>
        <v>1989</v>
      </c>
      <c r="C12" s="32">
        <f>'Exhibit 1'!$C8/'Exhibit 1'!$B8</f>
        <v>0.34187009092139004</v>
      </c>
      <c r="D12" s="29">
        <f>INDEX('Exhibit 2.5.2'!$B$24:$V$24,COUNT($B12:$B$21))</f>
        <v>1.0006535468249222</v>
      </c>
      <c r="E12" s="32">
        <f>INDEX('Exhibit 2.5.2'!$B$25:$V$25,COUNT($B12:$B$21))</f>
        <v>1.0056798243585912</v>
      </c>
      <c r="F12" s="32">
        <f t="shared" si="0"/>
        <v>0.34381185299127914</v>
      </c>
      <c r="G12" s="129"/>
    </row>
    <row r="13" spans="1:7">
      <c r="A13" s="112"/>
      <c r="B13" s="28">
        <f t="shared" si="1"/>
        <v>1990</v>
      </c>
      <c r="C13" s="32">
        <f>'Exhibit 1'!$C9/'Exhibit 1'!$B9</f>
        <v>0.39634551590930456</v>
      </c>
      <c r="D13" s="29">
        <f>INDEX('Exhibit 2.5.2'!$B$24:$V$24,COUNT($B13:$B$21))</f>
        <v>1.0004780736570777</v>
      </c>
      <c r="E13" s="32">
        <f>INDEX('Exhibit 2.5.2'!$B$25:$V$25,COUNT($B13:$B$21))</f>
        <v>1.0061606133900716</v>
      </c>
      <c r="F13" s="32">
        <f t="shared" si="0"/>
        <v>0.39878724740171023</v>
      </c>
      <c r="G13" s="129"/>
    </row>
    <row r="14" spans="1:7">
      <c r="A14" s="112"/>
      <c r="B14" s="28">
        <f t="shared" si="1"/>
        <v>1991</v>
      </c>
      <c r="C14" s="32">
        <f>'Exhibit 1'!$C10/'Exhibit 1'!$B10</f>
        <v>0.42251076761603296</v>
      </c>
      <c r="D14" s="29">
        <f>INDEX('Exhibit 2.5.2'!$B$24:$V$24,COUNT($B14:$B$21))</f>
        <v>1.0005795211738491</v>
      </c>
      <c r="E14" s="32">
        <f>INDEX('Exhibit 2.5.2'!$B$25:$V$25,COUNT($B14:$B$21))</f>
        <v>1.006743704769824</v>
      </c>
      <c r="F14" s="32">
        <f t="shared" si="0"/>
        <v>0.42536005549490719</v>
      </c>
      <c r="G14" s="129"/>
    </row>
    <row r="15" spans="1:7">
      <c r="A15" s="112"/>
      <c r="B15" s="28">
        <f t="shared" si="1"/>
        <v>1992</v>
      </c>
      <c r="C15" s="32">
        <f>'Exhibit 1'!$C11/'Exhibit 1'!$B11</f>
        <v>0.34790058190292233</v>
      </c>
      <c r="D15" s="29">
        <f>INDEX('Exhibit 2.5.2'!$B$24:$V$24,COUNT($B15:$B$21))</f>
        <v>1.0005335635386474</v>
      </c>
      <c r="E15" s="32">
        <f>INDEX('Exhibit 2.5.2'!$B$25:$V$25,COUNT($B15:$B$21))</f>
        <v>1.0072808665034521</v>
      </c>
      <c r="F15" s="32">
        <f t="shared" si="0"/>
        <v>0.35043359959623083</v>
      </c>
      <c r="G15" s="129"/>
    </row>
    <row r="16" spans="1:7">
      <c r="A16" s="112"/>
      <c r="B16" s="28">
        <f t="shared" si="1"/>
        <v>1993</v>
      </c>
      <c r="C16" s="32">
        <f>'Exhibit 1'!$C12/'Exhibit 1'!$B12</f>
        <v>0.28551878205651654</v>
      </c>
      <c r="D16" s="29">
        <f>INDEX('Exhibit 2.5.2'!$B$24:$V$24,COUNT($B16:$B$21))</f>
        <v>1.0006746571389848</v>
      </c>
      <c r="E16" s="32">
        <f>INDEX('Exhibit 2.5.2'!$B$25:$V$25,COUNT($B16:$B$21))</f>
        <v>1.0079604357310015</v>
      </c>
      <c r="F16" s="32">
        <f t="shared" si="0"/>
        <v>0.28779163597107127</v>
      </c>
      <c r="G16" s="129"/>
    </row>
    <row r="17" spans="1:7">
      <c r="A17" s="112"/>
      <c r="B17" s="28">
        <f t="shared" si="1"/>
        <v>1994</v>
      </c>
      <c r="C17" s="32">
        <f>'Exhibit 1'!$C13/'Exhibit 1'!$B13</f>
        <v>0.32354863787848448</v>
      </c>
      <c r="D17" s="29">
        <f>INDEX('Exhibit 2.5.2'!$B$24:$V$24,COUNT($B17:$B$21))</f>
        <v>1.0006725490544153</v>
      </c>
      <c r="E17" s="32">
        <f>INDEX('Exhibit 2.5.2'!$B$25:$V$25,COUNT($B17:$B$21))</f>
        <v>1.0086383385689404</v>
      </c>
      <c r="F17" s="32">
        <f t="shared" si="0"/>
        <v>0.32634356055599834</v>
      </c>
      <c r="G17" s="129"/>
    </row>
    <row r="18" spans="1:7">
      <c r="A18" s="112"/>
      <c r="B18" s="28">
        <f t="shared" si="1"/>
        <v>1995</v>
      </c>
      <c r="C18" s="32">
        <f>'Exhibit 1'!$C14/'Exhibit 1'!$B14</f>
        <v>0.46631724032716593</v>
      </c>
      <c r="D18" s="29">
        <f>INDEX('Exhibit 2.5.2'!$B$24:$V$24,COUNT($B18:$B$21))</f>
        <v>1.00072380628903</v>
      </c>
      <c r="E18" s="32">
        <f>INDEX('Exhibit 2.5.2'!$B$25:$V$25,COUNT($B18:$B$21))</f>
        <v>1.0093683973417533</v>
      </c>
      <c r="F18" s="32">
        <f t="shared" si="0"/>
        <v>0.47068588552186069</v>
      </c>
      <c r="G18" s="129"/>
    </row>
    <row r="19" spans="1:7">
      <c r="A19" s="112"/>
      <c r="B19" s="28">
        <f t="shared" si="1"/>
        <v>1996</v>
      </c>
      <c r="C19" s="32">
        <f>'Exhibit 1'!$C15/'Exhibit 1'!$B15</f>
        <v>0.52260585269154225</v>
      </c>
      <c r="D19" s="29">
        <f>INDEX('Exhibit 2.5.2'!$B$24:$V$24,COUNT($B19:$B$21))</f>
        <v>1.0011321389677519</v>
      </c>
      <c r="E19" s="32">
        <f>INDEX('Exhibit 2.5.2'!$B$25:$V$25,COUNT($B19:$B$21))</f>
        <v>1.0105111426372011</v>
      </c>
      <c r="F19" s="32">
        <f t="shared" si="0"/>
        <v>0.52809903735221919</v>
      </c>
      <c r="G19" s="129"/>
    </row>
    <row r="20" spans="1:7">
      <c r="A20" s="112"/>
      <c r="B20" s="28">
        <f t="shared" si="1"/>
        <v>1997</v>
      </c>
      <c r="C20" s="32">
        <f>'Exhibit 1'!$C16/'Exhibit 1'!$B16</f>
        <v>0.59101566087595814</v>
      </c>
      <c r="D20" s="29">
        <f>INDEX('Exhibit 2.5.2'!$B$24:$V$24,COUNT($B20:$B$21))</f>
        <v>1.0016085121129683</v>
      </c>
      <c r="E20" s="32">
        <f>INDEX('Exhibit 2.5.2'!$B$25:$V$25,COUNT($B20:$B$21))</f>
        <v>1.0121365620504226</v>
      </c>
      <c r="F20" s="32">
        <f t="shared" si="0"/>
        <v>0.59818855911695068</v>
      </c>
      <c r="G20" s="129"/>
    </row>
    <row r="21" spans="1:7">
      <c r="A21" s="112"/>
      <c r="B21" s="28">
        <f t="shared" si="1"/>
        <v>1998</v>
      </c>
      <c r="C21" s="32">
        <f>'Exhibit 1'!$C17/'Exhibit 1'!$B17</f>
        <v>0.64071617526809577</v>
      </c>
      <c r="D21" s="29">
        <f>INDEX('Exhibit 2.5.2'!$B$24:$V$24,COUNT($B21:$B$21))</f>
        <v>1.0018597857842453</v>
      </c>
      <c r="E21" s="32">
        <f>INDEX('Exhibit 2.5.2'!$B$25:$V$25,COUNT($B21:$B$21))</f>
        <v>1.0140189192402389</v>
      </c>
      <c r="F21" s="32">
        <f t="shared" si="0"/>
        <v>0.64969832358509394</v>
      </c>
      <c r="G21" s="129"/>
    </row>
    <row r="22" spans="1:7">
      <c r="A22" s="112"/>
      <c r="B22" s="28">
        <f t="shared" si="1"/>
        <v>1999</v>
      </c>
      <c r="C22" s="32">
        <f>'Exhibit 1'!$C18/'Exhibit 1'!$B18</f>
        <v>0.67210270322380494</v>
      </c>
      <c r="D22" s="29">
        <f ca="1">INDEX('Exhibit 2.5.1'!$B$32:$V$32,COUNT($B22:$B$42))</f>
        <v>1.0026666666666666</v>
      </c>
      <c r="E22" s="32">
        <f ca="1">INDEX('Exhibit 2.5.1'!$B$33:$V$33,COUNT($B22:$B$42))</f>
        <v>1.0167229696915461</v>
      </c>
      <c r="F22" s="32">
        <f t="shared" ca="1" si="0"/>
        <v>0.68334225635942281</v>
      </c>
      <c r="G22" s="129"/>
    </row>
    <row r="23" spans="1:7">
      <c r="A23" s="112"/>
      <c r="B23" s="28">
        <f t="shared" si="1"/>
        <v>2000</v>
      </c>
      <c r="C23" s="32">
        <f>'Exhibit 1'!$C19/'Exhibit 1'!$B19</f>
        <v>0.57921627533798115</v>
      </c>
      <c r="D23" s="29">
        <f ca="1">INDEX('Exhibit 2.5.1'!$B$32:$V$32,COUNT($B23:$B$42))</f>
        <v>1.0026666666666666</v>
      </c>
      <c r="E23" s="32">
        <f ca="1">INDEX('Exhibit 2.5.1'!$B$33:$V$33,COUNT($B23:$B$42))</f>
        <v>1.0194342309440567</v>
      </c>
      <c r="F23" s="32">
        <f t="shared" ca="1" si="0"/>
        <v>0.59047289819945581</v>
      </c>
      <c r="G23" s="129"/>
    </row>
    <row r="24" spans="1:7">
      <c r="A24" s="112"/>
      <c r="B24" s="28">
        <f t="shared" si="1"/>
        <v>2001</v>
      </c>
      <c r="C24" s="29">
        <f>'Exhibit 1'!$C20/'Exhibit 1'!$B20</f>
        <v>0.47887562419284158</v>
      </c>
      <c r="D24" s="29">
        <f ca="1">INDEX('Exhibit 2.5.1'!$B$32:$V$32,COUNT($B24:$B$42))</f>
        <v>1.0029999999999999</v>
      </c>
      <c r="E24" s="29">
        <f ca="1">INDEX('Exhibit 2.5.1'!$B$33:$V$33,COUNT($B24:$B$42))</f>
        <v>1.0224925336368889</v>
      </c>
      <c r="F24" s="29">
        <f t="shared" ca="1" si="0"/>
        <v>0.48964675027788523</v>
      </c>
      <c r="G24" s="129"/>
    </row>
    <row r="25" spans="1:7">
      <c r="A25" s="112"/>
      <c r="B25" s="28">
        <f t="shared" si="1"/>
        <v>2002</v>
      </c>
      <c r="C25" s="29">
        <f>'Exhibit 1'!$C21/'Exhibit 1'!$B21</f>
        <v>0.35561871189654193</v>
      </c>
      <c r="D25" s="29">
        <f ca="1">INDEX('Exhibit 2.5.1'!$B$32:$V$32,COUNT($B25:$B$42))</f>
        <v>1.0036666666666665</v>
      </c>
      <c r="E25" s="29">
        <f ca="1">INDEX('Exhibit 2.5.1'!$B$33:$V$33,COUNT($B25:$B$42))</f>
        <v>1.0262416729268906</v>
      </c>
      <c r="F25" s="29">
        <f t="shared" ca="1" si="0"/>
        <v>0.36495074182081311</v>
      </c>
      <c r="G25" s="129"/>
    </row>
    <row r="26" spans="1:7">
      <c r="A26" s="112"/>
      <c r="B26" s="28">
        <f t="shared" si="1"/>
        <v>2003</v>
      </c>
      <c r="C26" s="29">
        <f>'Exhibit 1'!$C22/'Exhibit 1'!$B22</f>
        <v>0.23384790284466803</v>
      </c>
      <c r="D26" s="29">
        <f ca="1">INDEX('Exhibit 2.5.1'!$B$32:$V$32,COUNT($B26:$B$42))</f>
        <v>1.0046666666666666</v>
      </c>
      <c r="E26" s="29">
        <f ca="1">INDEX('Exhibit 2.5.1'!$B$33:$V$33,COUNT($B26:$B$42))</f>
        <v>1.0310308007338826</v>
      </c>
      <c r="F26" s="29">
        <f t="shared" ca="1" si="0"/>
        <v>0.24110439051987728</v>
      </c>
      <c r="G26" s="129"/>
    </row>
    <row r="27" spans="1:7">
      <c r="A27" s="112"/>
      <c r="B27" s="28">
        <f t="shared" si="1"/>
        <v>2004</v>
      </c>
      <c r="C27" s="29">
        <f>'Exhibit 1'!$C23/'Exhibit 1'!$B23</f>
        <v>0.13926748539481656</v>
      </c>
      <c r="D27" s="29">
        <f ca="1">INDEX('Exhibit 2.5.1'!$B$32:$V$32,COUNT($B27:$B$42))</f>
        <v>1.0056666666666665</v>
      </c>
      <c r="E27" s="29">
        <f ca="1">INDEX('Exhibit 2.5.1'!$B$33:$V$33,COUNT($B27:$B$42))</f>
        <v>1.0368733086047077</v>
      </c>
      <c r="F27" s="29">
        <f t="shared" ca="1" si="0"/>
        <v>0.14440273836238127</v>
      </c>
      <c r="G27" s="129"/>
    </row>
    <row r="28" spans="1:7">
      <c r="A28" s="112"/>
      <c r="B28" s="28">
        <f t="shared" si="1"/>
        <v>2005</v>
      </c>
      <c r="C28" s="29">
        <f>'Exhibit 1'!$C24/'Exhibit 1'!$B24</f>
        <v>0.11842675375583636</v>
      </c>
      <c r="D28" s="29">
        <f ca="1">INDEX('Exhibit 2.5.1'!$B$32:$V$32,COUNT($B28:$B$42))</f>
        <v>1.0069999999999999</v>
      </c>
      <c r="E28" s="29">
        <f ca="1">INDEX('Exhibit 2.5.1'!$B$33:$V$33,COUNT($B28:$B$42))</f>
        <v>1.0441314217649407</v>
      </c>
      <c r="F28" s="29">
        <f t="shared" ca="1" si="0"/>
        <v>0.12365309477408795</v>
      </c>
      <c r="G28" s="129"/>
    </row>
    <row r="29" spans="1:7">
      <c r="A29" s="112"/>
      <c r="B29" s="28">
        <f t="shared" si="1"/>
        <v>2006</v>
      </c>
      <c r="C29" s="29">
        <f>'Exhibit 1'!$C25/'Exhibit 1'!$B25</f>
        <v>0.15198371395062915</v>
      </c>
      <c r="D29" s="29">
        <f ca="1">INDEX('Exhibit 2.5.1'!$B$32:$V$32,COUNT($B29:$B$42))</f>
        <v>1.0086666666666666</v>
      </c>
      <c r="E29" s="29">
        <f ca="1">INDEX('Exhibit 2.5.1'!$B$33:$V$33,COUNT($B29:$B$42))</f>
        <v>1.05318056075357</v>
      </c>
      <c r="F29" s="29">
        <f t="shared" ca="1" si="0"/>
        <v>0.1600662930839338</v>
      </c>
      <c r="G29" s="129"/>
    </row>
    <row r="30" spans="1:7">
      <c r="A30" s="112"/>
      <c r="B30" s="28">
        <f t="shared" si="1"/>
        <v>2007</v>
      </c>
      <c r="C30" s="29">
        <f>'Exhibit 1'!$C26/'Exhibit 1'!$B26</f>
        <v>0.20814610805114073</v>
      </c>
      <c r="D30" s="29">
        <f ca="1">INDEX('Exhibit 2.5.1'!$B$32:$V$32,COUNT($B30:$B$42))</f>
        <v>1.0093333333333332</v>
      </c>
      <c r="E30" s="29">
        <f ca="1">INDEX('Exhibit 2.5.1'!$B$33:$V$33,COUNT($B30:$B$42))</f>
        <v>1.0630102459872699</v>
      </c>
      <c r="F30" s="29">
        <f t="shared" ca="1" si="0"/>
        <v>0.22126144552073596</v>
      </c>
      <c r="G30" s="129"/>
    </row>
    <row r="31" spans="1:7">
      <c r="A31" s="112"/>
      <c r="B31" s="28">
        <f t="shared" si="1"/>
        <v>2008</v>
      </c>
      <c r="C31" s="29">
        <f>'Exhibit 1'!$C27/'Exhibit 1'!$B27</f>
        <v>0.26085080495263152</v>
      </c>
      <c r="D31" s="29">
        <f ca="1">INDEX('Exhibit 2.5.1'!$B$32:$V$32,COUNT($B31:$B$42))</f>
        <v>1.0119999999999998</v>
      </c>
      <c r="E31" s="29">
        <f ca="1">INDEX('Exhibit 2.5.1'!$B$33:$V$33,COUNT($B31:$B$42))</f>
        <v>1.0757663689391168</v>
      </c>
      <c r="F31" s="29">
        <f t="shared" ca="1" si="0"/>
        <v>0.2806145232787382</v>
      </c>
      <c r="G31" s="129"/>
    </row>
    <row r="32" spans="1:7">
      <c r="A32" s="112"/>
      <c r="B32" s="28">
        <f t="shared" si="1"/>
        <v>2009</v>
      </c>
      <c r="C32" s="29">
        <f>'Exhibit 1'!$C28/'Exhibit 1'!$B28</f>
        <v>0.30129249124612101</v>
      </c>
      <c r="D32" s="29">
        <f ca="1">INDEX('Exhibit 2.5.1'!$B$32:$V$32,COUNT($B32:$B$42))</f>
        <v>1.0149999999999999</v>
      </c>
      <c r="E32" s="29">
        <f ca="1">INDEX('Exhibit 2.5.1'!$B$33:$V$33,COUNT($B32:$B$42))</f>
        <v>1.0919028644732034</v>
      </c>
      <c r="F32" s="29">
        <f t="shared" ca="1" si="0"/>
        <v>0.32898213423590711</v>
      </c>
      <c r="G32" s="129"/>
    </row>
    <row r="33" spans="1:7">
      <c r="A33" s="112"/>
      <c r="B33" s="28">
        <f t="shared" si="1"/>
        <v>2010</v>
      </c>
      <c r="C33" s="29">
        <f>'Exhibit 1'!$C29/'Exhibit 1'!$B29</f>
        <v>0.28690628427600484</v>
      </c>
      <c r="D33" s="29">
        <f ca="1">INDEX('Exhibit 2.5.1'!$B$32:$V$32,COUNT($B33:$B$42))</f>
        <v>1.0170000000000001</v>
      </c>
      <c r="E33" s="29">
        <f ca="1">INDEX('Exhibit 2.5.1'!$B$33:$V$33,COUNT($B33:$B$42))</f>
        <v>1.1104652131692481</v>
      </c>
      <c r="F33" s="29">
        <f t="shared" ca="1" si="0"/>
        <v>0.31859944812815061</v>
      </c>
      <c r="G33" s="129"/>
    </row>
    <row r="34" spans="1:7">
      <c r="A34" s="112"/>
      <c r="B34" s="28">
        <f t="shared" si="1"/>
        <v>2011</v>
      </c>
      <c r="C34" s="29">
        <f>'Exhibit 1'!$C30/'Exhibit 1'!$B30</f>
        <v>0.26281548136696192</v>
      </c>
      <c r="D34" s="29">
        <f ca="1">INDEX('Exhibit 2.5.1'!$B$32:$V$32,COUNT($B34:$B$42))</f>
        <v>1.0216666666666665</v>
      </c>
      <c r="E34" s="29">
        <f ca="1">INDEX('Exhibit 2.5.1'!$B$33:$V$33,COUNT($B34:$B$42))</f>
        <v>1.134525292787915</v>
      </c>
      <c r="F34" s="29">
        <f t="shared" ca="1" si="0"/>
        <v>0.29817081094704928</v>
      </c>
      <c r="G34" s="112"/>
    </row>
    <row r="35" spans="1:7">
      <c r="A35" s="112"/>
      <c r="B35" s="28">
        <f t="shared" si="1"/>
        <v>2012</v>
      </c>
      <c r="C35" s="29">
        <f>'Exhibit 1'!$C31/'Exhibit 1'!$B31</f>
        <v>0.23016036996888353</v>
      </c>
      <c r="D35" s="29">
        <f>INDEX('Exhibit 2.5.1'!$B$32:$V$32,COUNT($B35:$B$42))</f>
        <v>1.0229999999999999</v>
      </c>
      <c r="E35" s="29">
        <f ca="1">INDEX('Exhibit 2.5.1'!$B$33:$V$33,COUNT($B35:$B$42))</f>
        <v>1.160619374522037</v>
      </c>
      <c r="F35" s="29">
        <f t="shared" ca="1" si="0"/>
        <v>0.26712858463304623</v>
      </c>
      <c r="G35" s="112"/>
    </row>
    <row r="36" spans="1:7">
      <c r="A36" s="112"/>
      <c r="B36" s="28">
        <f t="shared" si="1"/>
        <v>2013</v>
      </c>
      <c r="C36" s="29">
        <f>'Exhibit 1'!$C32/'Exhibit 1'!$B32</f>
        <v>0.19179371873866718</v>
      </c>
      <c r="D36" s="29">
        <f>INDEX('Exhibit 2.5.1'!$B$32:$V$32,COUNT($B36:$B$42))</f>
        <v>1.0309999999999999</v>
      </c>
      <c r="E36" s="29">
        <f ca="1">INDEX('Exhibit 2.5.1'!$B$33:$V$33,COUNT($B36:$B$42))</f>
        <v>1.1965985751322201</v>
      </c>
      <c r="F36" s="29">
        <f t="shared" ca="1" si="0"/>
        <v>0.22950009056199894</v>
      </c>
      <c r="G36" s="112"/>
    </row>
    <row r="37" spans="1:7">
      <c r="A37" s="112"/>
      <c r="B37" s="28">
        <f t="shared" si="1"/>
        <v>2014</v>
      </c>
      <c r="C37" s="29">
        <f>'Exhibit 1'!$C33/'Exhibit 1'!$B33</f>
        <v>0.1764394495229176</v>
      </c>
      <c r="D37" s="29">
        <f>INDEX('Exhibit 2.5.1'!$B$32:$V$32,COUNT($B37:$B$42))</f>
        <v>1.038</v>
      </c>
      <c r="E37" s="29">
        <f ca="1">INDEX('Exhibit 2.5.1'!$B$33:$V$33,COUNT($B37:$B$42))</f>
        <v>1.2420693209872444</v>
      </c>
      <c r="F37" s="29">
        <f t="shared" ca="1" si="0"/>
        <v>0.21915002726429345</v>
      </c>
      <c r="G37" s="112"/>
    </row>
    <row r="38" spans="1:7">
      <c r="A38" s="112"/>
      <c r="B38" s="28">
        <f t="shared" si="1"/>
        <v>2015</v>
      </c>
      <c r="C38" s="29">
        <f>'Exhibit 1'!$C34/'Exhibit 1'!$B34</f>
        <v>0.16338241330096229</v>
      </c>
      <c r="D38" s="29">
        <f>VALUE(LEFT(INDEX('Exhibit 2.5.1'!$B$32:$V$32,COUNT($B38:$B$42)),5))</f>
        <v>1.0509999999999999</v>
      </c>
      <c r="E38" s="29">
        <f ca="1">INDEX('Exhibit 2.5.1'!$B$33:$V$33,COUNT($B38:$B$42))</f>
        <v>1.3054954101225054</v>
      </c>
      <c r="F38" s="29">
        <f t="shared" ca="1" si="0"/>
        <v>0.21329499065914442</v>
      </c>
      <c r="G38" s="112"/>
    </row>
    <row r="39" spans="1:7">
      <c r="A39" s="112"/>
      <c r="B39" s="28">
        <f t="shared" si="1"/>
        <v>2016</v>
      </c>
      <c r="C39" s="29">
        <f>'Exhibit 1'!$C35/'Exhibit 1'!$B35</f>
        <v>0.14211525223772828</v>
      </c>
      <c r="D39" s="29">
        <f>VALUE(LEFT(INDEX('Exhibit 2.5.1'!$B$32:$V$32,COUNT($B39:$B$42)),5))</f>
        <v>1.0880000000000001</v>
      </c>
      <c r="E39" s="29">
        <f ca="1">INDEX('Exhibit 2.5.1'!$B$33:$V$33,COUNT($B39:$B$42))</f>
        <v>1.4200312467209906</v>
      </c>
      <c r="F39" s="29">
        <f t="shared" ca="1" si="0"/>
        <v>0.20180809881320932</v>
      </c>
      <c r="G39" s="112"/>
    </row>
    <row r="40" spans="1:7">
      <c r="A40" s="112"/>
      <c r="B40" s="28">
        <f t="shared" si="1"/>
        <v>2017</v>
      </c>
      <c r="C40" s="29">
        <f>'Exhibit 1'!$C36/'Exhibit 1'!$B36</f>
        <v>0.12338638338530052</v>
      </c>
      <c r="D40" s="29">
        <f>VALUE(LEFT(INDEX('Exhibit 2.5.1'!$B$32:$V$32,COUNT($B40:$B$42)),5))</f>
        <v>1.1739999999999999</v>
      </c>
      <c r="E40" s="29">
        <f ca="1">INDEX('Exhibit 2.5.1'!$B$33:$V$33,COUNT($B40:$B$42))</f>
        <v>1.6670160162823875</v>
      </c>
      <c r="F40" s="29">
        <f t="shared" ca="1" si="0"/>
        <v>0.20568707729445504</v>
      </c>
      <c r="G40" s="112"/>
    </row>
    <row r="41" spans="1:7">
      <c r="A41" s="112"/>
      <c r="B41" s="28">
        <f t="shared" si="1"/>
        <v>2018</v>
      </c>
      <c r="C41" s="29">
        <f>'Exhibit 1'!$C37/'Exhibit 1'!$B37</f>
        <v>9.186327554910996E-2</v>
      </c>
      <c r="D41" s="29">
        <f>VALUE(LEFT(INDEX('Exhibit 2.5.1'!$B$32:$V$32,COUNT($B41:$B$42)),5))</f>
        <v>1.4410000000000001</v>
      </c>
      <c r="E41" s="29">
        <f ca="1">INDEX('Exhibit 2.5.1'!$B$33:$V$33,COUNT($B41:$B$42))</f>
        <v>2.4022510409760143</v>
      </c>
      <c r="F41" s="29">
        <f t="shared" ref="F41" ca="1" si="2">C41*E41</f>
        <v>0.22067864931531583</v>
      </c>
      <c r="G41" s="112"/>
    </row>
    <row r="42" spans="1:7">
      <c r="A42" s="112"/>
      <c r="B42" s="28">
        <f t="shared" si="1"/>
        <v>2019</v>
      </c>
      <c r="C42" s="29">
        <f>'Exhibit 1'!$C38/'Exhibit 1'!$B38</f>
        <v>4.4891964757244801E-2</v>
      </c>
      <c r="D42" s="29">
        <f>VALUE(LEFT(INDEX('Exhibit 2.5.1'!$B$32:$V$32,COUNT($B42:$B$42)),5))</f>
        <v>2.3450000000000002</v>
      </c>
      <c r="E42" s="29">
        <f ca="1">INDEX('Exhibit 2.5.1'!$B$33:$V$33,COUNT($B42:$B$42))</f>
        <v>5.6324270512462169</v>
      </c>
      <c r="F42" s="29">
        <f t="shared" ca="1" si="0"/>
        <v>0.25285071668229742</v>
      </c>
      <c r="G42" s="112"/>
    </row>
    <row r="43" spans="1:7">
      <c r="A43" s="112"/>
      <c r="B43" s="28"/>
      <c r="C43" s="29"/>
      <c r="D43" s="29"/>
      <c r="E43" s="240"/>
      <c r="F43" s="29"/>
      <c r="G43" s="112"/>
    </row>
    <row r="44" spans="1:7" ht="12.75" customHeight="1">
      <c r="A44" s="112"/>
      <c r="B44" s="42" t="s">
        <v>22</v>
      </c>
      <c r="C44" s="245" t="s">
        <v>458</v>
      </c>
      <c r="D44" s="407"/>
      <c r="E44" s="407"/>
      <c r="F44" s="407"/>
      <c r="G44" s="112"/>
    </row>
    <row r="45" spans="1:7">
      <c r="A45" s="112"/>
      <c r="B45" s="42" t="s">
        <v>28</v>
      </c>
      <c r="C45" s="297" t="s">
        <v>306</v>
      </c>
      <c r="D45" s="382"/>
      <c r="E45" s="44"/>
      <c r="F45" s="44"/>
      <c r="G45" s="112"/>
    </row>
  </sheetData>
  <mergeCells count="4">
    <mergeCell ref="A1:G1"/>
    <mergeCell ref="B3:F3"/>
    <mergeCell ref="D5:E5"/>
    <mergeCell ref="B2:F2"/>
  </mergeCells>
  <printOptions horizontalCentered="1"/>
  <pageMargins left="0.5" right="0.5" top="0.75" bottom="0.75" header="0.33" footer="0.33"/>
  <pageSetup orientation="portrait" blackAndWhite="1" r:id="rId1"/>
  <headerFooter scaleWithDoc="0">
    <oddHeader>&amp;R&amp;"Arial,Regular"&amp;10Exhibit 3.1</oddHeader>
  </headerFooter>
  <ignoredErrors>
    <ignoredError sqref="C7:E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49"/>
  <sheetViews>
    <sheetView zoomScaleNormal="100" zoomScaleSheetLayoutView="100" workbookViewId="0"/>
  </sheetViews>
  <sheetFormatPr defaultColWidth="9.1328125" defaultRowHeight="12.75"/>
  <cols>
    <col min="1" max="1" width="12.73046875" style="110" customWidth="1"/>
    <col min="2" max="3" width="15" style="112" customWidth="1"/>
    <col min="4" max="7" width="13.265625" style="112" customWidth="1"/>
    <col min="8" max="8" width="5.73046875" style="110" customWidth="1"/>
    <col min="9" max="16384" width="9.1328125" style="110"/>
  </cols>
  <sheetData>
    <row r="1" spans="1:8" ht="13.15">
      <c r="A1" s="242" t="s">
        <v>49</v>
      </c>
      <c r="B1" s="242"/>
      <c r="C1" s="242"/>
      <c r="D1" s="242"/>
      <c r="E1" s="242"/>
      <c r="F1" s="242"/>
      <c r="G1" s="242"/>
      <c r="H1" s="378"/>
    </row>
    <row r="2" spans="1:8" ht="13.15">
      <c r="A2" s="242" t="s">
        <v>310</v>
      </c>
      <c r="B2" s="242"/>
      <c r="C2" s="242"/>
      <c r="D2" s="242"/>
      <c r="E2" s="242"/>
      <c r="F2" s="242"/>
      <c r="G2" s="242"/>
      <c r="H2" s="378"/>
    </row>
    <row r="3" spans="1:8" ht="13.15">
      <c r="A3" s="242" t="s">
        <v>516</v>
      </c>
      <c r="B3" s="242"/>
      <c r="C3" s="242"/>
      <c r="D3" s="242"/>
      <c r="E3" s="242"/>
      <c r="F3" s="242"/>
      <c r="G3" s="242"/>
      <c r="H3" s="378"/>
    </row>
    <row r="4" spans="1:8">
      <c r="A4" s="39"/>
      <c r="B4" s="38"/>
      <c r="C4" s="38"/>
      <c r="D4" s="38"/>
      <c r="E4" s="38"/>
      <c r="F4" s="38"/>
      <c r="G4" s="39"/>
      <c r="H4" s="112"/>
    </row>
    <row r="5" spans="1:8">
      <c r="A5" s="39"/>
      <c r="B5" s="40" t="s">
        <v>45</v>
      </c>
      <c r="C5" s="40" t="s">
        <v>46</v>
      </c>
      <c r="D5" s="40" t="s">
        <v>47</v>
      </c>
      <c r="E5" s="40" t="s">
        <v>48</v>
      </c>
      <c r="F5" s="40" t="s">
        <v>50</v>
      </c>
      <c r="G5" s="40" t="s">
        <v>51</v>
      </c>
      <c r="H5" s="112"/>
    </row>
    <row r="6" spans="1:8" ht="13.15">
      <c r="A6" s="39"/>
      <c r="B6" s="39"/>
      <c r="C6" s="546" t="s">
        <v>338</v>
      </c>
      <c r="D6" s="546"/>
      <c r="E6" s="546"/>
      <c r="F6" s="546"/>
      <c r="G6" s="546"/>
      <c r="H6" s="112"/>
    </row>
    <row r="7" spans="1:8">
      <c r="A7" s="112"/>
      <c r="D7" s="547" t="s">
        <v>44</v>
      </c>
      <c r="E7" s="547"/>
      <c r="H7" s="112"/>
    </row>
    <row r="8" spans="1:8">
      <c r="A8" s="39"/>
      <c r="B8" s="39"/>
      <c r="C8" s="39" t="s">
        <v>52</v>
      </c>
      <c r="E8" s="408"/>
      <c r="F8" s="39" t="s">
        <v>52</v>
      </c>
      <c r="G8" s="39" t="s">
        <v>53</v>
      </c>
      <c r="H8" s="112"/>
    </row>
    <row r="9" spans="1:8">
      <c r="A9" s="39" t="s">
        <v>54</v>
      </c>
      <c r="B9" s="39" t="s">
        <v>401</v>
      </c>
      <c r="C9" s="39" t="s">
        <v>401</v>
      </c>
      <c r="E9" s="406"/>
      <c r="F9" s="39" t="s">
        <v>350</v>
      </c>
      <c r="G9" s="39" t="s">
        <v>55</v>
      </c>
      <c r="H9" s="112"/>
    </row>
    <row r="10" spans="1:8">
      <c r="A10" s="41" t="s">
        <v>8</v>
      </c>
      <c r="B10" s="41" t="s">
        <v>366</v>
      </c>
      <c r="C10" s="41" t="s">
        <v>351</v>
      </c>
      <c r="D10" s="41" t="s">
        <v>381</v>
      </c>
      <c r="E10" s="41" t="s">
        <v>460</v>
      </c>
      <c r="F10" s="41" t="s">
        <v>352</v>
      </c>
      <c r="G10" s="41" t="s">
        <v>56</v>
      </c>
      <c r="H10" s="112"/>
    </row>
    <row r="11" spans="1:8">
      <c r="A11" s="39"/>
      <c r="B11" s="42"/>
      <c r="C11" s="39"/>
      <c r="D11" s="39"/>
      <c r="E11" s="39"/>
      <c r="F11" s="39" t="s">
        <v>410</v>
      </c>
      <c r="G11" s="39" t="s">
        <v>411</v>
      </c>
      <c r="H11" s="112"/>
    </row>
    <row r="12" spans="1:8">
      <c r="A12" s="28">
        <v>1987</v>
      </c>
      <c r="B12" s="32">
        <f>'Exhibit 1'!$E6/'Exhibit 1'!$B6</f>
        <v>0.30533310137196223</v>
      </c>
      <c r="C12" s="437">
        <v>0.27033370055805561</v>
      </c>
      <c r="D12" s="305">
        <f>INDEX('Exhibit 2.6.2'!$B$24:$W$24,COUNT($A12:$A$23))</f>
        <v>1.0017825409562728</v>
      </c>
      <c r="E12" s="305">
        <f>INDEX('Exhibit 2.6.2'!$B$25:$W$25,COUNT($A12:$A$23))</f>
        <v>1.0504688751015616</v>
      </c>
      <c r="F12" s="32">
        <f t="shared" ref="F12:F44" si="0">C12*E12</f>
        <v>0.28397713832726307</v>
      </c>
      <c r="G12" s="32">
        <f t="shared" ref="G12:G44" si="1">B12+F12-C12</f>
        <v>0.31897653914116975</v>
      </c>
      <c r="H12" s="112"/>
    </row>
    <row r="13" spans="1:8">
      <c r="A13" s="28">
        <f t="shared" ref="A13:A39" si="2">+A12+1</f>
        <v>1988</v>
      </c>
      <c r="B13" s="32">
        <f>'Exhibit 1'!$E7/'Exhibit 1'!$B7</f>
        <v>0.29822047989251205</v>
      </c>
      <c r="C13" s="437">
        <v>0.26418292907115543</v>
      </c>
      <c r="D13" s="305">
        <f>INDEX('Exhibit 2.6.2'!$B$24:$W$24,COUNT($A13:$A$23))</f>
        <v>1.0028011357884286</v>
      </c>
      <c r="E13" s="305">
        <f>INDEX('Exhibit 2.6.2'!$B$25:$W$25,COUNT($A13:$A$23))</f>
        <v>1.053411381062239</v>
      </c>
      <c r="F13" s="32">
        <f t="shared" si="0"/>
        <v>0.27829330416591336</v>
      </c>
      <c r="G13" s="32">
        <f t="shared" si="1"/>
        <v>0.31233085498726992</v>
      </c>
      <c r="H13" s="112"/>
    </row>
    <row r="14" spans="1:8">
      <c r="A14" s="28">
        <f t="shared" si="2"/>
        <v>1989</v>
      </c>
      <c r="B14" s="32">
        <f>'Exhibit 1'!$E8/'Exhibit 1'!$B8</f>
        <v>0.31699094301235403</v>
      </c>
      <c r="C14" s="437">
        <v>0.28072280303041697</v>
      </c>
      <c r="D14" s="305">
        <f>INDEX('Exhibit 2.6.2'!$B$24:$W$24,COUNT($A14:$A$23))</f>
        <v>1.0027454213124745</v>
      </c>
      <c r="E14" s="305">
        <f>INDEX('Exhibit 2.6.2'!$B$25:$W$25,COUNT($A14:$A$23))</f>
        <v>1.0563034391186104</v>
      </c>
      <c r="F14" s="32">
        <f t="shared" si="0"/>
        <v>0.2965284622800457</v>
      </c>
      <c r="G14" s="32">
        <f t="shared" si="1"/>
        <v>0.33279660226198282</v>
      </c>
      <c r="H14" s="112"/>
    </row>
    <row r="15" spans="1:8">
      <c r="A15" s="28">
        <f t="shared" si="2"/>
        <v>1990</v>
      </c>
      <c r="B15" s="32">
        <f>'Exhibit 1'!$E9/'Exhibit 1'!$B9</f>
        <v>0.35865899122626549</v>
      </c>
      <c r="C15" s="437">
        <v>0.3177659485117113</v>
      </c>
      <c r="D15" s="305">
        <f>INDEX('Exhibit 2.6.2'!$B$24:$W$24,COUNT($A15:$A$23))</f>
        <v>1.0025656055116985</v>
      </c>
      <c r="E15" s="305">
        <f>INDEX('Exhibit 2.6.2'!$B$25:$W$25,COUNT($A15:$A$23))</f>
        <v>1.059013497044039</v>
      </c>
      <c r="F15" s="32">
        <f t="shared" si="0"/>
        <v>0.33651842837490342</v>
      </c>
      <c r="G15" s="32">
        <f t="shared" si="1"/>
        <v>0.37741147108945755</v>
      </c>
      <c r="H15" s="112"/>
    </row>
    <row r="16" spans="1:8">
      <c r="A16" s="28">
        <f t="shared" si="2"/>
        <v>1991</v>
      </c>
      <c r="B16" s="32">
        <f>'Exhibit 1'!$E10/'Exhibit 1'!$B10</f>
        <v>0.3754206134823927</v>
      </c>
      <c r="C16" s="437">
        <v>0.33283393306890052</v>
      </c>
      <c r="D16" s="305">
        <f>INDEX('Exhibit 2.6.2'!$B$24:$W$24,COUNT($A16:$A$23))</f>
        <v>1.0025671077714458</v>
      </c>
      <c r="E16" s="305">
        <f>INDEX('Exhibit 2.6.2'!$B$25:$W$25,COUNT($A16:$A$23))</f>
        <v>1.0617320988223666</v>
      </c>
      <c r="F16" s="32">
        <f t="shared" si="0"/>
        <v>0.35338047031654685</v>
      </c>
      <c r="G16" s="32">
        <f t="shared" si="1"/>
        <v>0.39596715073003907</v>
      </c>
      <c r="H16" s="112"/>
    </row>
    <row r="17" spans="1:8">
      <c r="A17" s="28">
        <f t="shared" si="2"/>
        <v>1992</v>
      </c>
      <c r="B17" s="32">
        <f>'Exhibit 1'!$E11/'Exhibit 1'!$B11</f>
        <v>0.31050857139912874</v>
      </c>
      <c r="C17" s="437">
        <v>0.27549760305303195</v>
      </c>
      <c r="D17" s="305">
        <f>INDEX('Exhibit 2.6.2'!$B$24:$W$24,COUNT($A17:$A$23))</f>
        <v>1.002591946596376</v>
      </c>
      <c r="E17" s="305">
        <f>INDEX('Exhibit 2.6.2'!$B$25:$W$25,COUNT($A17:$A$23))</f>
        <v>1.0644840517221723</v>
      </c>
      <c r="F17" s="32">
        <f t="shared" si="0"/>
        <v>0.29326280473763816</v>
      </c>
      <c r="G17" s="32">
        <f t="shared" si="1"/>
        <v>0.32827377308373495</v>
      </c>
      <c r="H17" s="112"/>
    </row>
    <row r="18" spans="1:8">
      <c r="A18" s="28">
        <f t="shared" si="2"/>
        <v>1993</v>
      </c>
      <c r="B18" s="32">
        <f>'Exhibit 1'!$E12/'Exhibit 1'!$B12</f>
        <v>0.25550733142947257</v>
      </c>
      <c r="C18" s="437">
        <v>0.22667151970738786</v>
      </c>
      <c r="D18" s="305">
        <f>INDEX('Exhibit 2.6.2'!$B$24:$W$24,COUNT($A18:$A$23))</f>
        <v>1.0025520111846637</v>
      </c>
      <c r="E18" s="305">
        <f>INDEX('Exhibit 2.6.2'!$B$25:$W$25,COUNT($A18:$A$23))</f>
        <v>1.0672006269280634</v>
      </c>
      <c r="F18" s="32">
        <f t="shared" si="0"/>
        <v>0.24190398793846118</v>
      </c>
      <c r="G18" s="32">
        <f t="shared" si="1"/>
        <v>0.2707397996605459</v>
      </c>
      <c r="H18" s="112"/>
    </row>
    <row r="19" spans="1:8">
      <c r="A19" s="28">
        <f t="shared" si="2"/>
        <v>1994</v>
      </c>
      <c r="B19" s="32">
        <f>'Exhibit 1'!$E13/'Exhibit 1'!$B13</f>
        <v>0.291951880922039</v>
      </c>
      <c r="C19" s="437">
        <v>0.25912945441468277</v>
      </c>
      <c r="D19" s="305">
        <f>INDEX('Exhibit 2.6.2'!$B$24:$W$24,COUNT($A19:$A$23))</f>
        <v>1.0034962662117126</v>
      </c>
      <c r="E19" s="305">
        <f>INDEX('Exhibit 2.6.2'!$B$25:$W$25,COUNT($A19:$A$23))</f>
        <v>1.0709318444211104</v>
      </c>
      <c r="F19" s="32">
        <f t="shared" si="0"/>
        <v>0.2775099845601523</v>
      </c>
      <c r="G19" s="32">
        <f t="shared" si="1"/>
        <v>0.31033241106750847</v>
      </c>
      <c r="H19" s="112"/>
    </row>
    <row r="20" spans="1:8">
      <c r="A20" s="28">
        <f t="shared" si="2"/>
        <v>1995</v>
      </c>
      <c r="B20" s="32">
        <f>'Exhibit 1'!$E14/'Exhibit 1'!$B14</f>
        <v>0.42922194148267201</v>
      </c>
      <c r="C20" s="437">
        <v>0.38135080072257893</v>
      </c>
      <c r="D20" s="305">
        <f>INDEX('Exhibit 2.6.2'!$B$24:$W$24,COUNT($A20:$A$23))</f>
        <v>1.0046156064929803</v>
      </c>
      <c r="E20" s="305">
        <f>INDEX('Exhibit 2.6.2'!$B$25:$W$25,COUNT($A20:$A$23))</f>
        <v>1.07587484439576</v>
      </c>
      <c r="F20" s="32">
        <f t="shared" si="0"/>
        <v>0.4102857333876031</v>
      </c>
      <c r="G20" s="32">
        <f t="shared" si="1"/>
        <v>0.45815687414769618</v>
      </c>
      <c r="H20" s="112"/>
    </row>
    <row r="21" spans="1:8">
      <c r="A21" s="28">
        <f t="shared" si="2"/>
        <v>1996</v>
      </c>
      <c r="B21" s="32">
        <f>'Exhibit 1'!$E15/'Exhibit 1'!$B15</f>
        <v>0.45946485012718513</v>
      </c>
      <c r="C21" s="437">
        <v>0.40818973016308968</v>
      </c>
      <c r="D21" s="305">
        <f>INDEX('Exhibit 2.6.2'!$B$24:$W$24,COUNT($A21:$A$23))</f>
        <v>1.0047824241679448</v>
      </c>
      <c r="E21" s="305">
        <f>INDEX('Exhibit 2.6.2'!$B$25:$W$25,COUNT($A21:$A$23))</f>
        <v>1.0810201342532821</v>
      </c>
      <c r="F21" s="32">
        <f t="shared" si="0"/>
        <v>0.44126131690171422</v>
      </c>
      <c r="G21" s="32">
        <f t="shared" si="1"/>
        <v>0.49253643686580961</v>
      </c>
      <c r="H21" s="112"/>
    </row>
    <row r="22" spans="1:8">
      <c r="A22" s="28">
        <f t="shared" si="2"/>
        <v>1997</v>
      </c>
      <c r="B22" s="32">
        <f>'Exhibit 1'!$E16/'Exhibit 1'!$B16</f>
        <v>0.51424289715198068</v>
      </c>
      <c r="C22" s="437">
        <v>0.45695832740104464</v>
      </c>
      <c r="D22" s="305">
        <f>INDEX('Exhibit 2.6.2'!$B$24:$W$24,COUNT($A22:$A$23))</f>
        <v>1.0054343149362264</v>
      </c>
      <c r="E22" s="305">
        <f>INDEX('Exhibit 2.6.2'!$B$25:$W$25,COUNT($A22:$A$23))</f>
        <v>1.0868947381152161</v>
      </c>
      <c r="F22" s="32">
        <f t="shared" si="0"/>
        <v>0.49666560159012557</v>
      </c>
      <c r="G22" s="32">
        <f t="shared" si="1"/>
        <v>0.5539501713410615</v>
      </c>
      <c r="H22" s="112"/>
    </row>
    <row r="23" spans="1:8">
      <c r="A23" s="28">
        <f t="shared" si="2"/>
        <v>1998</v>
      </c>
      <c r="B23" s="32">
        <f>'Exhibit 1'!$E17/'Exhibit 1'!$B17</f>
        <v>0.61082472287445855</v>
      </c>
      <c r="C23" s="437">
        <v>0.54354377730854175</v>
      </c>
      <c r="D23" s="305">
        <f>INDEX('Exhibit 2.6.2'!$B$24:$W$24,COUNT($A23:$A$23))</f>
        <v>1.006333146887963</v>
      </c>
      <c r="E23" s="305">
        <f>INDEX('Exhibit 2.6.2'!$B$25:$W$25,COUNT($A23:$A$23))</f>
        <v>1.0937782021434539</v>
      </c>
      <c r="F23" s="32">
        <f t="shared" si="0"/>
        <v>0.59451633553079863</v>
      </c>
      <c r="G23" s="32">
        <f t="shared" si="1"/>
        <v>0.66179728109671554</v>
      </c>
      <c r="H23" s="112"/>
    </row>
    <row r="24" spans="1:8">
      <c r="A24" s="28">
        <f t="shared" si="2"/>
        <v>1999</v>
      </c>
      <c r="B24" s="32">
        <f>'Exhibit 1'!$E18/'Exhibit 1'!$B18</f>
        <v>0.66855959695026101</v>
      </c>
      <c r="C24" s="437">
        <v>0.59586837265747927</v>
      </c>
      <c r="D24" s="32">
        <f>INDEX('Exhibit 2.6.1'!$B$29:$V$29,COUNT($B24:$B$44))</f>
        <v>1.0083333333333333</v>
      </c>
      <c r="E24" s="32">
        <f>INDEX('Exhibit 2.6.1'!$B$32:$V$32,COUNT($B24:$B$44))</f>
        <v>1.1028930204946492</v>
      </c>
      <c r="F24" s="32">
        <f t="shared" si="0"/>
        <v>0.65717906933743853</v>
      </c>
      <c r="G24" s="32">
        <f t="shared" si="1"/>
        <v>0.72987029363022027</v>
      </c>
      <c r="H24" s="112"/>
    </row>
    <row r="25" spans="1:8">
      <c r="A25" s="28">
        <f t="shared" si="2"/>
        <v>2000</v>
      </c>
      <c r="B25" s="32">
        <f>'Exhibit 1'!$E19/'Exhibit 1'!$B19</f>
        <v>0.60189033851629314</v>
      </c>
      <c r="C25" s="437">
        <v>0.5369386115764565</v>
      </c>
      <c r="D25" s="32">
        <f>INDEX('Exhibit 2.6.1'!$B$29:$V$29,COUNT($B25:$B$44))</f>
        <v>1.0086666666666666</v>
      </c>
      <c r="E25" s="32">
        <f>INDEX('Exhibit 2.6.1'!$B$32:$V$32,COUNT($B25:$B$44))</f>
        <v>1.1124514266722694</v>
      </c>
      <c r="F25" s="32">
        <f t="shared" si="0"/>
        <v>0.59731812448365651</v>
      </c>
      <c r="G25" s="32">
        <f t="shared" si="1"/>
        <v>0.66226985142349304</v>
      </c>
      <c r="H25" s="112"/>
    </row>
    <row r="26" spans="1:8">
      <c r="A26" s="28">
        <f t="shared" si="2"/>
        <v>2001</v>
      </c>
      <c r="B26" s="32">
        <f>'Exhibit 1'!$E20/'Exhibit 1'!$B20</f>
        <v>0.5311197793459207</v>
      </c>
      <c r="C26" s="437">
        <v>0.47576766047648467</v>
      </c>
      <c r="D26" s="32">
        <f>INDEX('Exhibit 2.6.1'!$B$29:$V$29,COUNT($B26:$B$44))</f>
        <v>1.0083333333333331</v>
      </c>
      <c r="E26" s="32">
        <f>INDEX('Exhibit 2.6.1'!$B$32:$V$32,COUNT($B26:$B$44))</f>
        <v>1.1217218552278714</v>
      </c>
      <c r="F26" s="32">
        <f t="shared" si="0"/>
        <v>0.53367898276710635</v>
      </c>
      <c r="G26" s="32">
        <f t="shared" si="1"/>
        <v>0.58903110163654238</v>
      </c>
      <c r="H26" s="112"/>
    </row>
    <row r="27" spans="1:8">
      <c r="A27" s="28">
        <f t="shared" si="2"/>
        <v>2002</v>
      </c>
      <c r="B27" s="29">
        <f>'Exhibit 1'!$E21/'Exhibit 1'!$B21</f>
        <v>0.40898852647298678</v>
      </c>
      <c r="C27" s="296">
        <v>0.36753902618566642</v>
      </c>
      <c r="D27" s="29">
        <f>INDEX('Exhibit 2.6.1'!$B$29:$V$29,COUNT($B27:$B$44))</f>
        <v>1.0093333333333332</v>
      </c>
      <c r="E27" s="29">
        <f>INDEX('Exhibit 2.6.1'!$B$32:$V$32,COUNT($B27:$B$44))</f>
        <v>1.1321912592099981</v>
      </c>
      <c r="F27" s="29">
        <f t="shared" si="0"/>
        <v>0.4161244728659661</v>
      </c>
      <c r="G27" s="29">
        <f t="shared" si="1"/>
        <v>0.45757397315328646</v>
      </c>
      <c r="H27" s="112"/>
    </row>
    <row r="28" spans="1:8">
      <c r="A28" s="28">
        <f t="shared" si="2"/>
        <v>2003</v>
      </c>
      <c r="B28" s="29">
        <f>'Exhibit 1'!$E22/'Exhibit 1'!$B22</f>
        <v>0.26033507115715321</v>
      </c>
      <c r="C28" s="296">
        <v>0.23465551196416715</v>
      </c>
      <c r="D28" s="29">
        <f>INDEX('Exhibit 2.6.1'!$B$29:$V$29,COUNT($B28:$B$44))</f>
        <v>1.0096666666666667</v>
      </c>
      <c r="E28" s="29">
        <f>INDEX('Exhibit 2.6.1'!$B$32:$V$32,COUNT($B28:$B$44))</f>
        <v>1.1431357747156947</v>
      </c>
      <c r="F28" s="29">
        <f t="shared" si="0"/>
        <v>0.26824311046046617</v>
      </c>
      <c r="G28" s="29">
        <f t="shared" si="1"/>
        <v>0.29392266965345226</v>
      </c>
      <c r="H28" s="112"/>
    </row>
    <row r="29" spans="1:8">
      <c r="A29" s="28">
        <f t="shared" si="2"/>
        <v>2004</v>
      </c>
      <c r="B29" s="29">
        <f>'Exhibit 1'!$E23/'Exhibit 1'!$B23</f>
        <v>0.17586815995797278</v>
      </c>
      <c r="C29" s="296">
        <v>0.15888506565998572</v>
      </c>
      <c r="D29" s="29">
        <f>INDEX('Exhibit 2.6.1'!$B$29:$V$29,COUNT($B29:$B$44))</f>
        <v>1.0113333333333332</v>
      </c>
      <c r="E29" s="29">
        <f>INDEX('Exhibit 2.6.1'!$B$32:$V$32,COUNT($B29:$B$44))</f>
        <v>1.1560913134958057</v>
      </c>
      <c r="F29" s="29">
        <f t="shared" si="0"/>
        <v>0.18368564425372025</v>
      </c>
      <c r="G29" s="29">
        <f t="shared" si="1"/>
        <v>0.2006687385517073</v>
      </c>
      <c r="H29" s="112"/>
    </row>
    <row r="30" spans="1:8">
      <c r="A30" s="28">
        <f t="shared" si="2"/>
        <v>2005</v>
      </c>
      <c r="B30" s="29">
        <f>'Exhibit 1'!$E24/'Exhibit 1'!$B24</f>
        <v>0.17091524481522133</v>
      </c>
      <c r="C30" s="296">
        <v>0.15462327656628674</v>
      </c>
      <c r="D30" s="29">
        <f>INDEX('Exhibit 2.6.1'!$B$29:$V$29,COUNT($B30:$B$44))</f>
        <v>1.0123333333333333</v>
      </c>
      <c r="E30" s="29">
        <f>INDEX('Exhibit 2.6.1'!$B$32:$V$32,COUNT($B30:$B$44))</f>
        <v>1.1703497730289207</v>
      </c>
      <c r="F30" s="29">
        <f t="shared" si="0"/>
        <v>0.18096331663434173</v>
      </c>
      <c r="G30" s="29">
        <f t="shared" si="1"/>
        <v>0.19725528488327634</v>
      </c>
      <c r="H30" s="112"/>
    </row>
    <row r="31" spans="1:8">
      <c r="A31" s="28">
        <f t="shared" si="2"/>
        <v>2006</v>
      </c>
      <c r="B31" s="29">
        <f>'Exhibit 1'!$E25/'Exhibit 1'!$B25</f>
        <v>0.21825667635635709</v>
      </c>
      <c r="C31" s="296">
        <v>0.19817583259643395</v>
      </c>
      <c r="D31" s="29">
        <f>INDEX('Exhibit 2.6.1'!$B$29:$V$29,COUNT($B31:$B$44))</f>
        <v>1.0136666666666665</v>
      </c>
      <c r="E31" s="29">
        <f>INDEX('Exhibit 2.6.1'!$B$32:$V$32,COUNT($B31:$B$44))</f>
        <v>1.1863445532603158</v>
      </c>
      <c r="F31" s="29">
        <f t="shared" si="0"/>
        <v>0.23510481958860757</v>
      </c>
      <c r="G31" s="29">
        <f t="shared" si="1"/>
        <v>0.25518566334853071</v>
      </c>
      <c r="H31" s="112"/>
    </row>
    <row r="32" spans="1:8">
      <c r="A32" s="28">
        <f t="shared" si="2"/>
        <v>2007</v>
      </c>
      <c r="B32" s="29">
        <f>'Exhibit 1'!$E26/'Exhibit 1'!$B26</f>
        <v>0.30409124523388475</v>
      </c>
      <c r="C32" s="296">
        <v>0.27724878766157973</v>
      </c>
      <c r="D32" s="29">
        <f>INDEX('Exhibit 2.6.1'!$B$29:$V$29,COUNT($B32:$B$44))</f>
        <v>1.0146666666666666</v>
      </c>
      <c r="E32" s="29">
        <f>INDEX('Exhibit 2.6.1'!$B$32:$V$32,COUNT($B32:$B$44))</f>
        <v>1.2037442733748005</v>
      </c>
      <c r="F32" s="29">
        <f t="shared" si="0"/>
        <v>0.33373664044773266</v>
      </c>
      <c r="G32" s="29">
        <f t="shared" si="1"/>
        <v>0.36057909802003768</v>
      </c>
      <c r="H32" s="112"/>
    </row>
    <row r="33" spans="1:8">
      <c r="A33" s="28">
        <f t="shared" si="2"/>
        <v>2008</v>
      </c>
      <c r="B33" s="29">
        <f>'Exhibit 1'!$E27/'Exhibit 1'!$B27</f>
        <v>0.37395374050513097</v>
      </c>
      <c r="C33" s="296">
        <v>0.34255528382177858</v>
      </c>
      <c r="D33" s="29">
        <f>INDEX('Exhibit 2.6.1'!$B$29:$V$29,COUNT($B33:$B$44))</f>
        <v>1.0173333333333334</v>
      </c>
      <c r="E33" s="29">
        <f>INDEX('Exhibit 2.6.1'!$B$32:$V$32,COUNT($B33:$B$44))</f>
        <v>1.2246091741132972</v>
      </c>
      <c r="F33" s="29">
        <f t="shared" si="0"/>
        <v>0.41949634320913437</v>
      </c>
      <c r="G33" s="29">
        <f t="shared" si="1"/>
        <v>0.45089479989248671</v>
      </c>
      <c r="H33" s="112"/>
    </row>
    <row r="34" spans="1:8">
      <c r="A34" s="28">
        <f t="shared" si="2"/>
        <v>2009</v>
      </c>
      <c r="B34" s="29">
        <f>'Exhibit 1'!$E28/'Exhibit 1'!$B28</f>
        <v>0.43042256834552561</v>
      </c>
      <c r="C34" s="296">
        <v>0.39708575088657622</v>
      </c>
      <c r="D34" s="29">
        <f>INDEX('Exhibit 2.6.1'!$B$29:$V$29,COUNT($B34:$B$44))</f>
        <v>1.0193333333333332</v>
      </c>
      <c r="E34" s="29">
        <f>INDEX('Exhibit 2.6.1'!$B$32:$V$32,COUNT($B34:$B$44))</f>
        <v>1.2482849514794874</v>
      </c>
      <c r="F34" s="29">
        <f t="shared" si="0"/>
        <v>0.49567616727864561</v>
      </c>
      <c r="G34" s="29">
        <f t="shared" si="1"/>
        <v>0.52901298473759506</v>
      </c>
      <c r="H34" s="112"/>
    </row>
    <row r="35" spans="1:8">
      <c r="A35" s="28">
        <f t="shared" si="2"/>
        <v>2010</v>
      </c>
      <c r="B35" s="37">
        <f>'Exhibit 1'!$E29/'Exhibit 1'!$B29</f>
        <v>0.41824484189137534</v>
      </c>
      <c r="C35" s="438">
        <v>0.38772082160160004</v>
      </c>
      <c r="D35" s="37">
        <f>INDEX('Exhibit 2.6.1'!$B$29:$V$29,COUNT($B35:$B$44))</f>
        <v>1.0203333333333333</v>
      </c>
      <c r="E35" s="37">
        <f>INDEX('Exhibit 2.6.1'!$B$32:$V$32,COUNT($B35:$B$44))</f>
        <v>1.2736667454929036</v>
      </c>
      <c r="F35" s="37">
        <f t="shared" si="0"/>
        <v>0.49382711700914461</v>
      </c>
      <c r="G35" s="37">
        <f t="shared" si="1"/>
        <v>0.52435113729891991</v>
      </c>
      <c r="H35" s="112"/>
    </row>
    <row r="36" spans="1:8">
      <c r="A36" s="28">
        <f t="shared" si="2"/>
        <v>2011</v>
      </c>
      <c r="B36" s="29">
        <f>'Exhibit 1'!$E30/'Exhibit 1'!$B30</f>
        <v>0.3504034216787319</v>
      </c>
      <c r="C36" s="296">
        <v>0.32837843575274339</v>
      </c>
      <c r="D36" s="29">
        <f>INDEX('Exhibit 2.6.1'!$B$29:$V$29,COUNT($B36:$B$44))</f>
        <v>1.026</v>
      </c>
      <c r="E36" s="29">
        <f>INDEX('Exhibit 2.6.1'!$B$32:$V$32,COUNT($B36:$B$44))</f>
        <v>1.3067820808757191</v>
      </c>
      <c r="F36" s="29">
        <f t="shared" si="0"/>
        <v>0.42911905558768365</v>
      </c>
      <c r="G36" s="29">
        <f t="shared" si="1"/>
        <v>0.45114404151367216</v>
      </c>
      <c r="H36" s="112"/>
    </row>
    <row r="37" spans="1:8">
      <c r="A37" s="28">
        <f t="shared" si="2"/>
        <v>2012</v>
      </c>
      <c r="B37" s="29">
        <f>'Exhibit 1'!$E31/'Exhibit 1'!$B31</f>
        <v>0.29364433214058877</v>
      </c>
      <c r="C37" s="296">
        <v>0.27763848817288922</v>
      </c>
      <c r="D37" s="29">
        <f>INDEX('Exhibit 2.6.1'!$B$29:$V$29,COUNT($B37:$B$44))</f>
        <v>1.0289999999999999</v>
      </c>
      <c r="E37" s="29">
        <f>INDEX('Exhibit 2.6.1'!$B$32:$V$32,COUNT($B37:$B$44))</f>
        <v>1.3446787612211148</v>
      </c>
      <c r="F37" s="29">
        <f t="shared" si="0"/>
        <v>0.37333457834362382</v>
      </c>
      <c r="G37" s="29">
        <f t="shared" si="1"/>
        <v>0.38934042231132332</v>
      </c>
      <c r="H37" s="112"/>
    </row>
    <row r="38" spans="1:8">
      <c r="A38" s="28">
        <f t="shared" si="2"/>
        <v>2013</v>
      </c>
      <c r="B38" s="29">
        <f>'Exhibit 1'!$E32/'Exhibit 1'!$B32</f>
        <v>0.23040246541855494</v>
      </c>
      <c r="C38" s="296">
        <v>0.219979105782389</v>
      </c>
      <c r="D38" s="29">
        <f>INDEX('Exhibit 2.6.1'!$B$29:$V$29,COUNT($B38:$B$44))</f>
        <v>1.0389999999999999</v>
      </c>
      <c r="E38" s="29">
        <f>INDEX('Exhibit 2.6.1'!$B$32:$V$32,COUNT($B38:$B$44))</f>
        <v>1.3971212329087381</v>
      </c>
      <c r="F38" s="29">
        <f t="shared" si="0"/>
        <v>0.30733747948485302</v>
      </c>
      <c r="G38" s="29">
        <f t="shared" si="1"/>
        <v>0.31776083912101893</v>
      </c>
      <c r="H38" s="112"/>
    </row>
    <row r="39" spans="1:8">
      <c r="A39" s="28">
        <f t="shared" si="2"/>
        <v>2014</v>
      </c>
      <c r="B39" s="29">
        <f>'Exhibit 1'!$E33/'Exhibit 1'!$B33</f>
        <v>0.1973415888009849</v>
      </c>
      <c r="C39" s="296">
        <v>0.19152902191191962</v>
      </c>
      <c r="D39" s="287">
        <f>INDEX('Exhibit 2.6.1'!$B$29:$V$29,COUNT($B39:$B$44))</f>
        <v>1.046</v>
      </c>
      <c r="E39" s="287">
        <f>INDEX('Exhibit 2.6.1'!$B$35:$V$35,COUNT($B39:$B$44))</f>
        <v>1.4510621267245842</v>
      </c>
      <c r="F39" s="29">
        <f t="shared" si="0"/>
        <v>0.27792050986498956</v>
      </c>
      <c r="G39" s="29">
        <f t="shared" si="1"/>
        <v>0.28373307675405485</v>
      </c>
      <c r="H39" s="112"/>
    </row>
    <row r="40" spans="1:8">
      <c r="A40" s="28">
        <f>+A39+1</f>
        <v>2015</v>
      </c>
      <c r="B40" s="29">
        <f>'Exhibit 1'!$E34/'Exhibit 1'!$B34</f>
        <v>0.17590922114206695</v>
      </c>
      <c r="C40" s="296">
        <v>0.17291959920664168</v>
      </c>
      <c r="D40" s="287">
        <f>VALUE(LEFT(INDEX('Exhibit 2.6.1'!$B$29:$V$29,COUNT($B40:$B$44)),5))</f>
        <v>1.0589999999999999</v>
      </c>
      <c r="E40" s="287">
        <f>INDEX('Exhibit 2.6.1'!$B$35:$V$35,COUNT($B40:$B$44))</f>
        <v>1.5245467757971463</v>
      </c>
      <c r="F40" s="29">
        <f t="shared" si="0"/>
        <v>0.26362401744262037</v>
      </c>
      <c r="G40" s="29">
        <f t="shared" si="1"/>
        <v>0.26661363937804561</v>
      </c>
      <c r="H40" s="112"/>
    </row>
    <row r="41" spans="1:8">
      <c r="A41" s="28">
        <f>+A40+1</f>
        <v>2016</v>
      </c>
      <c r="B41" s="29">
        <f>'Exhibit 1'!$E35/'Exhibit 1'!$B35</f>
        <v>0.15281699439232177</v>
      </c>
      <c r="C41" s="296">
        <v>0.15150726967560707</v>
      </c>
      <c r="D41" s="287">
        <f>VALUE(LEFT(INDEX('Exhibit 2.6.1'!$B$29:$V$29,COUNT($B41:$B$44)),5))</f>
        <v>1.0900000000000001</v>
      </c>
      <c r="E41" s="287">
        <f>INDEX('Exhibit 2.6.1'!$B$35:$V$35,COUNT($B41:$B$44))</f>
        <v>1.6448261579893189</v>
      </c>
      <c r="F41" s="29">
        <f t="shared" si="0"/>
        <v>0.24920312028798042</v>
      </c>
      <c r="G41" s="29">
        <f t="shared" si="1"/>
        <v>0.25051284500469512</v>
      </c>
      <c r="H41" s="112"/>
    </row>
    <row r="42" spans="1:8">
      <c r="A42" s="28">
        <f>+A41+1</f>
        <v>2017</v>
      </c>
      <c r="B42" s="29">
        <f>'Exhibit 1'!$E36/'Exhibit 1'!$B36</f>
        <v>0.13587885353264703</v>
      </c>
      <c r="C42" s="296">
        <v>0.13549676444230974</v>
      </c>
      <c r="D42" s="287">
        <f>VALUE(LEFT(INDEX('Exhibit 2.6.1'!$B$29:$V$29,COUNT($B42:$B$44)),5))</f>
        <v>1.161</v>
      </c>
      <c r="E42" s="287">
        <f>INDEX('Exhibit 2.6.1'!$B$35:$V$35,COUNT($B42:$B$44))</f>
        <v>1.8856011983007841</v>
      </c>
      <c r="F42" s="29">
        <f t="shared" si="0"/>
        <v>0.2554928613982983</v>
      </c>
      <c r="G42" s="29">
        <f t="shared" si="1"/>
        <v>0.25587495048863562</v>
      </c>
      <c r="H42" s="112"/>
    </row>
    <row r="43" spans="1:8">
      <c r="A43" s="28">
        <f>+A42+1</f>
        <v>2018</v>
      </c>
      <c r="B43" s="29">
        <f>'Exhibit 1'!$E37/'Exhibit 1'!$B37</f>
        <v>0.11082132840453116</v>
      </c>
      <c r="C43" s="296">
        <v>0.11082132840453116</v>
      </c>
      <c r="D43" s="287">
        <f>VALUE(LEFT(INDEX('Exhibit 2.6.1'!$B$29:$V$29,COUNT($B43:$B$44)),5))</f>
        <v>1.321</v>
      </c>
      <c r="E43" s="287">
        <f>INDEX('Exhibit 2.6.1'!$B$35:$V$35,COUNT($B43:$B$44))</f>
        <v>2.4909257868394201</v>
      </c>
      <c r="F43" s="29">
        <f t="shared" si="0"/>
        <v>0.27604770465464656</v>
      </c>
      <c r="G43" s="29">
        <f t="shared" si="1"/>
        <v>0.27604770465464656</v>
      </c>
      <c r="H43" s="112"/>
    </row>
    <row r="44" spans="1:8">
      <c r="A44" s="28">
        <f>+A43+1</f>
        <v>2019</v>
      </c>
      <c r="B44" s="29">
        <f>'Exhibit 1'!$E38/'Exhibit 1'!$B38</f>
        <v>6.4965378087593714E-2</v>
      </c>
      <c r="C44" s="296">
        <v>6.4965378087593714E-2</v>
      </c>
      <c r="D44" s="287">
        <f>VALUE(LEFT(INDEX('Exhibit 2.6.1'!$B$29:$V$29,COUNT($B44:$B$44)),5))</f>
        <v>1.849</v>
      </c>
      <c r="E44" s="287">
        <f>INDEX('Exhibit 2.6.1'!$B$35:$V$35,COUNT($B44:$B$44))</f>
        <v>4.6055951347493789</v>
      </c>
      <c r="F44" s="29">
        <f t="shared" si="0"/>
        <v>0.2992042292473755</v>
      </c>
      <c r="G44" s="29">
        <f t="shared" si="1"/>
        <v>0.2992042292473755</v>
      </c>
      <c r="H44" s="112"/>
    </row>
    <row r="45" spans="1:8">
      <c r="A45" s="28"/>
      <c r="B45" s="29"/>
      <c r="C45" s="29"/>
      <c r="D45" s="29"/>
      <c r="E45" s="43"/>
      <c r="F45" s="29"/>
      <c r="G45" s="44"/>
      <c r="H45" s="112"/>
    </row>
    <row r="46" spans="1:8" ht="12.75" customHeight="1">
      <c r="A46" s="42" t="s">
        <v>22</v>
      </c>
      <c r="B46" s="297" t="s">
        <v>459</v>
      </c>
      <c r="C46" s="297"/>
      <c r="D46" s="297"/>
      <c r="E46" s="297"/>
      <c r="F46" s="297"/>
      <c r="G46" s="297"/>
      <c r="H46" s="297"/>
    </row>
    <row r="47" spans="1:8" ht="27.95" customHeight="1">
      <c r="A47" s="42" t="s">
        <v>28</v>
      </c>
      <c r="B47" s="543" t="s">
        <v>543</v>
      </c>
      <c r="C47" s="543"/>
      <c r="D47" s="543"/>
      <c r="E47" s="543"/>
      <c r="F47" s="543"/>
      <c r="G47" s="543"/>
      <c r="H47" s="543"/>
    </row>
    <row r="48" spans="1:8" ht="12.75" customHeight="1">
      <c r="A48" s="42" t="s">
        <v>38</v>
      </c>
      <c r="B48" s="297" t="s">
        <v>339</v>
      </c>
      <c r="C48" s="297"/>
      <c r="D48" s="297"/>
      <c r="E48" s="297"/>
      <c r="F48" s="297"/>
      <c r="G48" s="297"/>
      <c r="H48" s="252"/>
    </row>
    <row r="49" spans="1:8" ht="41.25" customHeight="1">
      <c r="A49" s="42" t="s">
        <v>57</v>
      </c>
      <c r="B49" s="543" t="s">
        <v>358</v>
      </c>
      <c r="C49" s="543"/>
      <c r="D49" s="543"/>
      <c r="E49" s="543"/>
      <c r="F49" s="543"/>
      <c r="G49" s="543"/>
      <c r="H49" s="543"/>
    </row>
  </sheetData>
  <mergeCells count="4">
    <mergeCell ref="B49:H49"/>
    <mergeCell ref="C6:G6"/>
    <mergeCell ref="D7:E7"/>
    <mergeCell ref="B47:H47"/>
  </mergeCells>
  <printOptions horizontalCentered="1"/>
  <pageMargins left="0.5" right="0.5" top="0.75" bottom="0.75" header="0.33" footer="0.33"/>
  <pageSetup scale="94" orientation="portrait" blackAndWhite="1" horizontalDpi="1200" verticalDpi="1200" r:id="rId1"/>
  <headerFooter scaleWithDoc="0">
    <oddHeader>&amp;R&amp;"Arial,Regular"&amp;10Exhibit 3.2</oddHeader>
  </headerFooter>
  <ignoredErrors>
    <ignoredError sqref="B5:C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57"/>
  <sheetViews>
    <sheetView zoomScaleNormal="100" workbookViewId="0">
      <selection sqref="A1:M1"/>
    </sheetView>
  </sheetViews>
  <sheetFormatPr defaultColWidth="9.1328125" defaultRowHeight="12.75"/>
  <cols>
    <col min="1" max="1" width="3.59765625" style="184" customWidth="1"/>
    <col min="2" max="2" width="9" style="184" customWidth="1"/>
    <col min="3" max="3" width="9.1328125" style="184"/>
    <col min="4" max="4" width="6.86328125" style="184" customWidth="1"/>
    <col min="5" max="5" width="11" style="184" customWidth="1"/>
    <col min="6" max="6" width="6.3984375" style="184" customWidth="1"/>
    <col min="7" max="7" width="9.1328125" style="184"/>
    <col min="8" max="8" width="6.86328125" style="184" customWidth="1"/>
    <col min="9" max="9" width="11" style="184" bestFit="1" customWidth="1"/>
    <col min="10" max="10" width="6.3984375" style="184" customWidth="1"/>
    <col min="11" max="11" width="9.1328125" style="184"/>
    <col min="12" max="12" width="10.3984375" style="184" customWidth="1"/>
    <col min="13" max="13" width="3.1328125" style="184" customWidth="1"/>
    <col min="14" max="16384" width="9.1328125" style="184"/>
  </cols>
  <sheetData>
    <row r="1" spans="1:13" ht="13.15">
      <c r="A1" s="551" t="s">
        <v>60</v>
      </c>
      <c r="B1" s="551"/>
      <c r="C1" s="551"/>
      <c r="D1" s="551"/>
      <c r="E1" s="551"/>
      <c r="F1" s="551"/>
      <c r="G1" s="551"/>
      <c r="H1" s="551"/>
      <c r="I1" s="551"/>
      <c r="J1" s="551"/>
      <c r="K1" s="551"/>
      <c r="L1" s="551"/>
      <c r="M1" s="551"/>
    </row>
    <row r="2" spans="1:13" ht="13.15">
      <c r="A2" s="188"/>
      <c r="B2" s="189"/>
      <c r="C2" s="189"/>
      <c r="D2" s="189"/>
      <c r="E2" s="189"/>
      <c r="F2" s="189"/>
      <c r="G2" s="189"/>
      <c r="H2" s="189"/>
      <c r="I2" s="189"/>
      <c r="J2" s="188"/>
      <c r="K2" s="189"/>
      <c r="L2" s="189"/>
      <c r="M2" s="189"/>
    </row>
    <row r="3" spans="1:13">
      <c r="A3" s="188"/>
      <c r="B3" s="188"/>
      <c r="C3" s="188"/>
      <c r="D3" s="27" t="s">
        <v>45</v>
      </c>
      <c r="E3" s="27"/>
      <c r="F3" s="27" t="s">
        <v>46</v>
      </c>
      <c r="G3" s="188"/>
      <c r="H3" s="27" t="s">
        <v>47</v>
      </c>
      <c r="I3" s="188"/>
      <c r="J3" s="27" t="s">
        <v>48</v>
      </c>
      <c r="K3" s="188"/>
      <c r="L3" s="45" t="s">
        <v>50</v>
      </c>
      <c r="M3" s="188"/>
    </row>
    <row r="4" spans="1:13">
      <c r="A4" s="188"/>
      <c r="B4" s="188"/>
      <c r="C4" s="188"/>
      <c r="D4" s="188" t="s">
        <v>61</v>
      </c>
      <c r="E4" s="188"/>
      <c r="F4" s="27"/>
      <c r="G4" s="27"/>
      <c r="H4" s="188" t="s">
        <v>62</v>
      </c>
      <c r="I4" s="27"/>
      <c r="J4" s="188" t="s">
        <v>63</v>
      </c>
      <c r="K4" s="27"/>
      <c r="L4" s="30" t="s">
        <v>64</v>
      </c>
      <c r="M4" s="188"/>
    </row>
    <row r="5" spans="1:13">
      <c r="A5" s="188"/>
      <c r="B5" s="188"/>
      <c r="C5" s="188"/>
      <c r="D5" s="188" t="s">
        <v>65</v>
      </c>
      <c r="E5" s="188"/>
      <c r="F5" s="188"/>
      <c r="G5" s="188"/>
      <c r="H5" s="188" t="s">
        <v>66</v>
      </c>
      <c r="I5" s="188"/>
      <c r="J5" s="188" t="s">
        <v>67</v>
      </c>
      <c r="K5" s="188"/>
      <c r="L5" s="30" t="s">
        <v>3</v>
      </c>
      <c r="M5" s="188"/>
    </row>
    <row r="6" spans="1:13">
      <c r="A6" s="188"/>
      <c r="B6" s="188" t="s">
        <v>54</v>
      </c>
      <c r="C6" s="39"/>
      <c r="D6" s="39" t="s">
        <v>68</v>
      </c>
      <c r="E6" s="39"/>
      <c r="F6" s="39" t="s">
        <v>68</v>
      </c>
      <c r="G6" s="39"/>
      <c r="H6" s="39" t="s">
        <v>69</v>
      </c>
      <c r="I6" s="39"/>
      <c r="J6" s="39" t="s">
        <v>70</v>
      </c>
      <c r="K6" s="39"/>
      <c r="L6" s="39" t="s">
        <v>71</v>
      </c>
      <c r="M6" s="39"/>
    </row>
    <row r="7" spans="1:13">
      <c r="A7" s="26"/>
      <c r="B7" s="26" t="s">
        <v>8</v>
      </c>
      <c r="C7" s="26"/>
      <c r="D7" s="26" t="s">
        <v>72</v>
      </c>
      <c r="E7" s="26"/>
      <c r="F7" s="26" t="s">
        <v>72</v>
      </c>
      <c r="G7" s="26"/>
      <c r="H7" s="26" t="s">
        <v>73</v>
      </c>
      <c r="I7" s="26"/>
      <c r="J7" s="26" t="s">
        <v>74</v>
      </c>
      <c r="K7" s="26"/>
      <c r="L7" s="46" t="s">
        <v>75</v>
      </c>
      <c r="M7" s="26"/>
    </row>
    <row r="8" spans="1:13" ht="13.15">
      <c r="A8" s="188"/>
      <c r="B8" s="188"/>
      <c r="C8" s="188"/>
      <c r="D8" s="47"/>
      <c r="E8" s="47"/>
      <c r="F8" s="47"/>
      <c r="G8" s="188"/>
      <c r="H8" s="48"/>
      <c r="I8" s="188"/>
      <c r="J8" s="189"/>
      <c r="K8" s="188"/>
      <c r="L8" s="30"/>
      <c r="M8" s="188"/>
    </row>
    <row r="9" spans="1:13">
      <c r="A9" s="188"/>
      <c r="B9" s="188">
        <v>1987</v>
      </c>
      <c r="C9" s="188"/>
      <c r="D9" s="440">
        <v>0</v>
      </c>
      <c r="E9" s="441"/>
      <c r="F9" s="440">
        <v>0</v>
      </c>
      <c r="G9" s="52"/>
      <c r="H9" s="440">
        <v>1.9</v>
      </c>
      <c r="I9" s="48"/>
      <c r="J9" s="48">
        <f t="shared" ref="J9:J44" si="0">+(((1+D9/100)*(1+F9/100)*(1+H9/100)-1))*100</f>
        <v>1.8999999999999906</v>
      </c>
      <c r="K9" s="188"/>
      <c r="L9" s="30">
        <f t="shared" ref="L9:L21" si="1">L10*(1+J10/100)</f>
        <v>1.5364451609497567</v>
      </c>
      <c r="M9" s="188"/>
    </row>
    <row r="10" spans="1:13">
      <c r="A10" s="188"/>
      <c r="B10" s="188">
        <f t="shared" ref="B10:B43" si="2">B9+1</f>
        <v>1988</v>
      </c>
      <c r="C10" s="188"/>
      <c r="D10" s="440">
        <v>0</v>
      </c>
      <c r="E10" s="441"/>
      <c r="F10" s="440">
        <v>0</v>
      </c>
      <c r="G10" s="52"/>
      <c r="H10" s="440">
        <v>1.5</v>
      </c>
      <c r="I10" s="48"/>
      <c r="J10" s="48">
        <f t="shared" si="0"/>
        <v>1.4999999999999902</v>
      </c>
      <c r="K10" s="188"/>
      <c r="L10" s="30">
        <f t="shared" si="1"/>
        <v>1.5137390748273467</v>
      </c>
      <c r="M10" s="188"/>
    </row>
    <row r="11" spans="1:13">
      <c r="A11" s="188"/>
      <c r="B11" s="188">
        <f t="shared" si="2"/>
        <v>1989</v>
      </c>
      <c r="C11" s="188"/>
      <c r="D11" s="440">
        <v>0</v>
      </c>
      <c r="E11" s="441"/>
      <c r="F11" s="440">
        <v>0</v>
      </c>
      <c r="G11" s="52"/>
      <c r="H11" s="440">
        <v>1.5</v>
      </c>
      <c r="I11" s="48"/>
      <c r="J11" s="48">
        <f t="shared" si="0"/>
        <v>1.4999999999999902</v>
      </c>
      <c r="K11" s="188"/>
      <c r="L11" s="30">
        <f t="shared" si="1"/>
        <v>1.4913685466279278</v>
      </c>
      <c r="M11" s="188"/>
    </row>
    <row r="12" spans="1:13">
      <c r="A12" s="188"/>
      <c r="B12" s="188">
        <f t="shared" si="2"/>
        <v>1990</v>
      </c>
      <c r="C12" s="188"/>
      <c r="D12" s="440">
        <v>2.2999999999999998</v>
      </c>
      <c r="E12" s="441"/>
      <c r="F12" s="440">
        <v>19.899999999999999</v>
      </c>
      <c r="G12" s="52"/>
      <c r="H12" s="440">
        <v>1.7000000000000002</v>
      </c>
      <c r="I12" s="48"/>
      <c r="J12" s="48">
        <f t="shared" si="0"/>
        <v>24.742880899999985</v>
      </c>
      <c r="K12" s="188"/>
      <c r="L12" s="30">
        <f t="shared" si="1"/>
        <v>1.1955540355232632</v>
      </c>
      <c r="M12" s="188"/>
    </row>
    <row r="13" spans="1:13">
      <c r="A13" s="188"/>
      <c r="B13" s="188">
        <f t="shared" si="2"/>
        <v>1991</v>
      </c>
      <c r="C13" s="188"/>
      <c r="D13" s="440">
        <v>4.9000000000000004</v>
      </c>
      <c r="E13" s="441"/>
      <c r="F13" s="440">
        <v>14.8</v>
      </c>
      <c r="G13" s="52"/>
      <c r="H13" s="440">
        <v>0.8</v>
      </c>
      <c r="I13" s="48"/>
      <c r="J13" s="48">
        <f t="shared" si="0"/>
        <v>21.388601600000001</v>
      </c>
      <c r="K13" s="188"/>
      <c r="L13" s="30">
        <f t="shared" si="1"/>
        <v>0.984898103911647</v>
      </c>
      <c r="M13" s="188"/>
    </row>
    <row r="14" spans="1:13">
      <c r="A14" s="188"/>
      <c r="B14" s="188">
        <f t="shared" si="2"/>
        <v>1992</v>
      </c>
      <c r="C14" s="188"/>
      <c r="D14" s="440">
        <v>1.8</v>
      </c>
      <c r="E14" s="441"/>
      <c r="F14" s="440">
        <v>-8.3000000000000007</v>
      </c>
      <c r="G14" s="52"/>
      <c r="H14" s="440">
        <v>1.6</v>
      </c>
      <c r="I14" s="48"/>
      <c r="J14" s="48">
        <f t="shared" si="0"/>
        <v>-5.1557903999999937</v>
      </c>
      <c r="K14" s="188"/>
      <c r="L14" s="30">
        <f t="shared" si="1"/>
        <v>1.0384377792438759</v>
      </c>
      <c r="M14" s="188"/>
    </row>
    <row r="15" spans="1:13">
      <c r="A15" s="188"/>
      <c r="B15" s="188">
        <f t="shared" si="2"/>
        <v>1993</v>
      </c>
      <c r="C15" s="188"/>
      <c r="D15" s="440">
        <v>0.2</v>
      </c>
      <c r="E15" s="441"/>
      <c r="F15" s="440">
        <v>-18.100000000000001</v>
      </c>
      <c r="G15" s="52"/>
      <c r="H15" s="440">
        <v>0.4</v>
      </c>
      <c r="I15" s="48"/>
      <c r="J15" s="48">
        <f t="shared" si="0"/>
        <v>-17.607944799999999</v>
      </c>
      <c r="K15" s="188"/>
      <c r="L15" s="30">
        <f t="shared" si="1"/>
        <v>1.2603615442328182</v>
      </c>
      <c r="M15" s="188"/>
    </row>
    <row r="16" spans="1:13">
      <c r="A16" s="188"/>
      <c r="B16" s="188">
        <f t="shared" si="2"/>
        <v>1994</v>
      </c>
      <c r="C16" s="188"/>
      <c r="D16" s="440">
        <v>-5.0999999999999996</v>
      </c>
      <c r="E16" s="441"/>
      <c r="F16" s="440">
        <v>0.2</v>
      </c>
      <c r="G16" s="52"/>
      <c r="H16" s="440">
        <v>0.6</v>
      </c>
      <c r="I16" s="48"/>
      <c r="J16" s="48">
        <f t="shared" si="0"/>
        <v>-4.3396612000000108</v>
      </c>
      <c r="K16" s="188"/>
      <c r="L16" s="30">
        <f t="shared" si="1"/>
        <v>1.3175382400305886</v>
      </c>
      <c r="M16" s="188"/>
    </row>
    <row r="17" spans="1:13">
      <c r="A17" s="188"/>
      <c r="B17" s="188">
        <f t="shared" si="2"/>
        <v>1995</v>
      </c>
      <c r="C17" s="188"/>
      <c r="D17" s="440">
        <v>6.3</v>
      </c>
      <c r="E17" s="441"/>
      <c r="F17" s="440">
        <v>0.6</v>
      </c>
      <c r="G17" s="52"/>
      <c r="H17" s="440">
        <v>1</v>
      </c>
      <c r="I17" s="48"/>
      <c r="J17" s="48">
        <f t="shared" si="0"/>
        <v>8.0071779999999926</v>
      </c>
      <c r="K17" s="188"/>
      <c r="L17" s="30">
        <f t="shared" si="1"/>
        <v>1.2198617392175441</v>
      </c>
      <c r="M17" s="188"/>
    </row>
    <row r="18" spans="1:13">
      <c r="A18" s="188"/>
      <c r="B18" s="188">
        <f t="shared" si="2"/>
        <v>1996</v>
      </c>
      <c r="C18" s="188"/>
      <c r="D18" s="440">
        <v>5.3</v>
      </c>
      <c r="E18" s="441"/>
      <c r="F18" s="440">
        <v>0.4</v>
      </c>
      <c r="G18" s="52"/>
      <c r="H18" s="440">
        <v>1.2</v>
      </c>
      <c r="I18" s="48"/>
      <c r="J18" s="48">
        <f t="shared" si="0"/>
        <v>6.9898543999999951</v>
      </c>
      <c r="K18" s="188"/>
      <c r="L18" s="30">
        <f t="shared" si="1"/>
        <v>1.1401658092335381</v>
      </c>
      <c r="M18" s="188"/>
    </row>
    <row r="19" spans="1:13">
      <c r="A19" s="188"/>
      <c r="B19" s="188">
        <f t="shared" si="2"/>
        <v>1997</v>
      </c>
      <c r="C19" s="188"/>
      <c r="D19" s="440">
        <v>9.6999999999999993</v>
      </c>
      <c r="E19" s="441"/>
      <c r="F19" s="440">
        <v>0.2</v>
      </c>
      <c r="G19" s="52"/>
      <c r="H19" s="440">
        <v>1.6</v>
      </c>
      <c r="I19" s="48"/>
      <c r="J19" s="48">
        <f t="shared" si="0"/>
        <v>11.678110399999998</v>
      </c>
      <c r="K19" s="188"/>
      <c r="L19" s="30">
        <f t="shared" si="1"/>
        <v>1.0209393811820244</v>
      </c>
      <c r="M19" s="188"/>
    </row>
    <row r="20" spans="1:13">
      <c r="A20" s="188"/>
      <c r="B20" s="188">
        <f t="shared" si="2"/>
        <v>1998</v>
      </c>
      <c r="C20" s="188"/>
      <c r="D20" s="440">
        <v>6.5</v>
      </c>
      <c r="E20" s="441"/>
      <c r="F20" s="440">
        <v>0</v>
      </c>
      <c r="G20" s="52"/>
      <c r="H20" s="440">
        <v>1.8000000000000003</v>
      </c>
      <c r="I20" s="48"/>
      <c r="J20" s="48">
        <f t="shared" si="0"/>
        <v>8.4169999999999856</v>
      </c>
      <c r="K20" s="188"/>
      <c r="L20" s="30">
        <f t="shared" si="1"/>
        <v>0.94167831722149153</v>
      </c>
      <c r="M20" s="188"/>
    </row>
    <row r="21" spans="1:13">
      <c r="A21" s="188"/>
      <c r="B21" s="188">
        <f t="shared" si="2"/>
        <v>1999</v>
      </c>
      <c r="C21" s="188"/>
      <c r="D21" s="440">
        <v>5.7</v>
      </c>
      <c r="E21" s="441"/>
      <c r="F21" s="440">
        <v>0</v>
      </c>
      <c r="G21" s="52"/>
      <c r="H21" s="440">
        <v>2.1</v>
      </c>
      <c r="I21" s="48"/>
      <c r="J21" s="48">
        <f t="shared" si="0"/>
        <v>7.919699999999974</v>
      </c>
      <c r="K21" s="188"/>
      <c r="L21" s="30">
        <f t="shared" si="1"/>
        <v>0.87257314208758152</v>
      </c>
      <c r="M21" s="188"/>
    </row>
    <row r="22" spans="1:13">
      <c r="A22" s="188"/>
      <c r="B22" s="188">
        <f t="shared" si="2"/>
        <v>2000</v>
      </c>
      <c r="C22" s="188"/>
      <c r="D22" s="440">
        <v>3.9</v>
      </c>
      <c r="E22" s="442"/>
      <c r="F22" s="440">
        <v>0</v>
      </c>
      <c r="G22" s="52"/>
      <c r="H22" s="440">
        <v>3.1</v>
      </c>
      <c r="I22" s="48"/>
      <c r="J22" s="48">
        <f t="shared" si="0"/>
        <v>7.1208999999999856</v>
      </c>
      <c r="K22" s="188"/>
      <c r="L22" s="30">
        <f t="shared" ref="L22" si="3">L23*(1+J23/100)</f>
        <v>0.81456853152613695</v>
      </c>
      <c r="M22" s="188"/>
    </row>
    <row r="23" spans="1:13">
      <c r="A23" s="188"/>
      <c r="B23" s="188">
        <f t="shared" si="2"/>
        <v>2001</v>
      </c>
      <c r="C23" s="188"/>
      <c r="D23" s="440">
        <v>-0.3</v>
      </c>
      <c r="E23" s="442"/>
      <c r="F23" s="440">
        <v>0</v>
      </c>
      <c r="G23" s="52"/>
      <c r="H23" s="440">
        <v>0.2</v>
      </c>
      <c r="I23" s="48"/>
      <c r="J23" s="48">
        <f t="shared" si="0"/>
        <v>-0.10059999999999514</v>
      </c>
      <c r="K23" s="188"/>
      <c r="L23" s="444">
        <f>+(J25/100+1)*(J26/100+1)*(J27/100+1)*(J24/100+1)*L27</f>
        <v>0.81538881267168462</v>
      </c>
      <c r="M23" s="188"/>
    </row>
    <row r="24" spans="1:13">
      <c r="A24" s="188"/>
      <c r="B24" s="188">
        <f t="shared" si="2"/>
        <v>2002</v>
      </c>
      <c r="C24" s="188"/>
      <c r="D24" s="440">
        <v>-0.7</v>
      </c>
      <c r="E24" s="442"/>
      <c r="F24" s="440">
        <v>0</v>
      </c>
      <c r="G24" s="52"/>
      <c r="H24" s="440">
        <v>0.4</v>
      </c>
      <c r="I24" s="48"/>
      <c r="J24" s="48">
        <f t="shared" si="0"/>
        <v>-0.30280000000000307</v>
      </c>
      <c r="K24" s="188"/>
      <c r="L24" s="444">
        <f>+L27*(1+J26/100)*(1+J25/100)*(1+E54)</f>
        <v>0.83518622457280911</v>
      </c>
      <c r="M24" s="49" t="s">
        <v>41</v>
      </c>
    </row>
    <row r="25" spans="1:13">
      <c r="A25" s="188"/>
      <c r="B25" s="188">
        <f t="shared" si="2"/>
        <v>2003</v>
      </c>
      <c r="C25" s="188"/>
      <c r="D25" s="440">
        <v>7.3436000000000057</v>
      </c>
      <c r="E25" s="442"/>
      <c r="F25" s="440">
        <v>0</v>
      </c>
      <c r="G25" s="52"/>
      <c r="H25" s="440">
        <v>1.2</v>
      </c>
      <c r="I25" s="48"/>
      <c r="J25" s="48">
        <f t="shared" si="0"/>
        <v>8.6317232000000068</v>
      </c>
      <c r="K25" s="188"/>
      <c r="L25" s="444">
        <f>+L27*(1+J26/100)*(1+E55)</f>
        <v>0.83260198854766609</v>
      </c>
      <c r="M25" s="49" t="s">
        <v>41</v>
      </c>
    </row>
    <row r="26" spans="1:13">
      <c r="A26" s="188"/>
      <c r="B26" s="188">
        <f t="shared" si="2"/>
        <v>2004</v>
      </c>
      <c r="C26" s="188"/>
      <c r="D26" s="440">
        <v>-5.9782388663967678</v>
      </c>
      <c r="E26" s="442"/>
      <c r="F26" s="440">
        <v>-13.7</v>
      </c>
      <c r="G26" s="52"/>
      <c r="H26" s="440">
        <v>2.1</v>
      </c>
      <c r="I26" s="48"/>
      <c r="J26" s="48">
        <f t="shared" si="0"/>
        <v>-17.155263764676132</v>
      </c>
      <c r="K26" s="188"/>
      <c r="L26" s="444">
        <f>+L27*(1+E56)</f>
        <v>1.1397396784325564</v>
      </c>
      <c r="M26" s="49" t="s">
        <v>41</v>
      </c>
    </row>
    <row r="27" spans="1:13">
      <c r="A27" s="188"/>
      <c r="B27" s="188">
        <f t="shared" si="2"/>
        <v>2005</v>
      </c>
      <c r="C27" s="188"/>
      <c r="D27" s="440">
        <v>-31.634572864321608</v>
      </c>
      <c r="E27" s="442"/>
      <c r="F27" s="440">
        <v>-15.3</v>
      </c>
      <c r="G27" s="52"/>
      <c r="H27" s="440">
        <v>1.6</v>
      </c>
      <c r="I27" s="48"/>
      <c r="J27" s="48">
        <f t="shared" si="0"/>
        <v>-41.167994947537693</v>
      </c>
      <c r="K27" s="188"/>
      <c r="L27" s="33">
        <f t="shared" ref="L27:L42" si="4">L28*(1+J28/100)</f>
        <v>1.5447085455987011</v>
      </c>
      <c r="M27" s="50"/>
    </row>
    <row r="28" spans="1:13">
      <c r="A28" s="188"/>
      <c r="B28" s="188">
        <f t="shared" si="2"/>
        <v>2006</v>
      </c>
      <c r="C28" s="188"/>
      <c r="D28" s="440">
        <v>5.6</v>
      </c>
      <c r="E28" s="441"/>
      <c r="F28" s="440">
        <v>-5.7</v>
      </c>
      <c r="G28" s="52"/>
      <c r="H28" s="440">
        <v>2.2000000000000002</v>
      </c>
      <c r="I28" s="48"/>
      <c r="J28" s="48">
        <f t="shared" si="0"/>
        <v>1.7715775999999961</v>
      </c>
      <c r="K28" s="188"/>
      <c r="L28" s="33">
        <f t="shared" si="4"/>
        <v>1.517819200631809</v>
      </c>
      <c r="M28" s="188"/>
    </row>
    <row r="29" spans="1:13">
      <c r="A29" s="188"/>
      <c r="B29" s="188">
        <f t="shared" si="2"/>
        <v>2007</v>
      </c>
      <c r="C29" s="188"/>
      <c r="D29" s="440">
        <v>1.6</v>
      </c>
      <c r="E29" s="441"/>
      <c r="F29" s="440">
        <v>0</v>
      </c>
      <c r="G29" s="52"/>
      <c r="H29" s="440">
        <v>2.1</v>
      </c>
      <c r="I29" s="188"/>
      <c r="J29" s="48">
        <f t="shared" si="0"/>
        <v>3.7335999999999814</v>
      </c>
      <c r="K29" s="188"/>
      <c r="L29" s="33">
        <f t="shared" si="4"/>
        <v>1.4631895553917045</v>
      </c>
      <c r="M29" s="188"/>
    </row>
    <row r="30" spans="1:13">
      <c r="A30" s="188"/>
      <c r="B30" s="188">
        <f t="shared" si="2"/>
        <v>2008</v>
      </c>
      <c r="C30" s="188"/>
      <c r="D30" s="440">
        <v>4.8</v>
      </c>
      <c r="E30" s="443"/>
      <c r="F30" s="440">
        <v>0.6</v>
      </c>
      <c r="G30" s="52"/>
      <c r="H30" s="440">
        <v>1</v>
      </c>
      <c r="I30" s="188"/>
      <c r="J30" s="48">
        <f t="shared" si="0"/>
        <v>6.4830880000000146</v>
      </c>
      <c r="K30" s="188"/>
      <c r="L30" s="33">
        <f t="shared" si="4"/>
        <v>1.3741051117823557</v>
      </c>
      <c r="M30" s="188"/>
    </row>
    <row r="31" spans="1:13">
      <c r="A31" s="188"/>
      <c r="B31" s="188">
        <f t="shared" si="2"/>
        <v>2009</v>
      </c>
      <c r="D31" s="440">
        <v>0.4</v>
      </c>
      <c r="E31" s="441"/>
      <c r="F31" s="440">
        <v>1.4</v>
      </c>
      <c r="G31" s="433"/>
      <c r="H31" s="440">
        <v>0.2</v>
      </c>
      <c r="I31" s="188"/>
      <c r="J31" s="48">
        <f t="shared" si="0"/>
        <v>2.0092112000000162</v>
      </c>
      <c r="K31" s="188"/>
      <c r="L31" s="33">
        <f t="shared" si="4"/>
        <v>1.3470402286400147</v>
      </c>
      <c r="M31" s="188"/>
    </row>
    <row r="32" spans="1:13">
      <c r="A32" s="188"/>
      <c r="B32" s="188">
        <f t="shared" si="2"/>
        <v>2010</v>
      </c>
      <c r="C32" s="188"/>
      <c r="D32" s="440">
        <v>0.4</v>
      </c>
      <c r="E32" s="441"/>
      <c r="F32" s="440">
        <v>0</v>
      </c>
      <c r="G32" s="52"/>
      <c r="H32" s="440">
        <v>1.5</v>
      </c>
      <c r="I32" s="188"/>
      <c r="J32" s="48">
        <f t="shared" si="0"/>
        <v>1.9059999999999855</v>
      </c>
      <c r="K32" s="188"/>
      <c r="L32" s="33">
        <f t="shared" si="4"/>
        <v>1.3218458468000067</v>
      </c>
      <c r="M32" s="188"/>
    </row>
    <row r="33" spans="1:13">
      <c r="A33" s="188"/>
      <c r="B33" s="188">
        <f t="shared" si="2"/>
        <v>2011</v>
      </c>
      <c r="C33" s="188"/>
      <c r="D33" s="440">
        <v>0</v>
      </c>
      <c r="E33" s="441"/>
      <c r="F33" s="440">
        <v>0</v>
      </c>
      <c r="G33" s="52"/>
      <c r="H33" s="440">
        <v>1.4</v>
      </c>
      <c r="I33" s="188"/>
      <c r="J33" s="48">
        <f t="shared" si="0"/>
        <v>1.4000000000000012</v>
      </c>
      <c r="K33" s="188"/>
      <c r="L33" s="33">
        <f t="shared" si="4"/>
        <v>1.3035955096647009</v>
      </c>
      <c r="M33" s="49"/>
    </row>
    <row r="34" spans="1:13">
      <c r="A34" s="188"/>
      <c r="B34" s="188">
        <f t="shared" si="2"/>
        <v>2012</v>
      </c>
      <c r="C34" s="188"/>
      <c r="D34" s="440">
        <v>-0.82837500000000341</v>
      </c>
      <c r="E34" s="443"/>
      <c r="F34" s="440">
        <v>0</v>
      </c>
      <c r="G34" s="52"/>
      <c r="H34" s="440">
        <v>2.1</v>
      </c>
      <c r="I34" s="39"/>
      <c r="J34" s="48">
        <f t="shared" si="0"/>
        <v>1.2542291249999948</v>
      </c>
      <c r="K34" s="188"/>
      <c r="L34" s="33">
        <f t="shared" si="4"/>
        <v>1.2874479623516675</v>
      </c>
      <c r="M34" s="49"/>
    </row>
    <row r="35" spans="1:13">
      <c r="A35" s="188"/>
      <c r="B35" s="188">
        <f t="shared" si="2"/>
        <v>2013</v>
      </c>
      <c r="C35" s="188"/>
      <c r="D35" s="440">
        <v>1.4457500000000012</v>
      </c>
      <c r="E35" s="443"/>
      <c r="F35" s="440">
        <v>0.2</v>
      </c>
      <c r="G35" s="52"/>
      <c r="H35" s="440">
        <v>0.6</v>
      </c>
      <c r="I35" s="39"/>
      <c r="J35" s="48">
        <f t="shared" si="0"/>
        <v>2.2585333489999915</v>
      </c>
      <c r="K35" s="188"/>
      <c r="L35" s="33">
        <f t="shared" si="4"/>
        <v>1.259012739756117</v>
      </c>
      <c r="M35" s="49"/>
    </row>
    <row r="36" spans="1:13">
      <c r="A36" s="188"/>
      <c r="B36" s="188">
        <f t="shared" si="2"/>
        <v>2014</v>
      </c>
      <c r="C36" s="188"/>
      <c r="D36" s="440">
        <v>5.7863625000000196</v>
      </c>
      <c r="E36" s="443"/>
      <c r="F36" s="440">
        <v>1.4967259120673537</v>
      </c>
      <c r="G36" s="52"/>
      <c r="H36" s="440">
        <v>1.7000000000000002</v>
      </c>
      <c r="I36" s="39"/>
      <c r="J36" s="48">
        <f t="shared" si="0"/>
        <v>9.1949792037535172</v>
      </c>
      <c r="K36" s="188"/>
      <c r="L36" s="33">
        <f t="shared" si="4"/>
        <v>1.1529950817673118</v>
      </c>
      <c r="M36" s="49"/>
    </row>
    <row r="37" spans="1:13">
      <c r="A37" s="188"/>
      <c r="B37" s="188">
        <f t="shared" si="2"/>
        <v>2015</v>
      </c>
      <c r="C37" s="188"/>
      <c r="D37" s="440">
        <v>-0.83826250000000879</v>
      </c>
      <c r="E37" s="443"/>
      <c r="F37" s="440">
        <v>0</v>
      </c>
      <c r="G37" s="52"/>
      <c r="H37" s="440">
        <v>2.2999999999999998</v>
      </c>
      <c r="I37" s="39"/>
      <c r="J37" s="48">
        <f t="shared" si="0"/>
        <v>1.4424574624999797</v>
      </c>
      <c r="K37" s="188"/>
      <c r="L37" s="33">
        <f t="shared" si="4"/>
        <v>1.1366001086808619</v>
      </c>
      <c r="M37" s="188"/>
    </row>
    <row r="38" spans="1:13">
      <c r="A38" s="188"/>
      <c r="B38" s="188">
        <f t="shared" si="2"/>
        <v>2016</v>
      </c>
      <c r="C38" s="188"/>
      <c r="D38" s="440">
        <v>0.26999999999999247</v>
      </c>
      <c r="E38" s="443"/>
      <c r="F38" s="440">
        <v>0</v>
      </c>
      <c r="G38" s="52"/>
      <c r="H38" s="440">
        <v>1</v>
      </c>
      <c r="I38" s="39"/>
      <c r="J38" s="48">
        <f t="shared" si="0"/>
        <v>1.2726999999999933</v>
      </c>
      <c r="K38" s="188"/>
      <c r="L38" s="33">
        <f t="shared" si="4"/>
        <v>1.1223163880106504</v>
      </c>
      <c r="M38" s="188"/>
    </row>
    <row r="39" spans="1:13">
      <c r="A39" s="188"/>
      <c r="B39" s="188">
        <f t="shared" si="2"/>
        <v>2017</v>
      </c>
      <c r="C39" s="188"/>
      <c r="D39" s="440">
        <v>0.46999999999999265</v>
      </c>
      <c r="E39" s="443"/>
      <c r="F39" s="440">
        <v>0</v>
      </c>
      <c r="G39" s="52"/>
      <c r="H39" s="440">
        <v>2.2000000000000002</v>
      </c>
      <c r="I39" s="39"/>
      <c r="J39" s="48">
        <f t="shared" si="0"/>
        <v>2.6803399999999922</v>
      </c>
      <c r="K39" s="188"/>
      <c r="L39" s="33">
        <f t="shared" si="4"/>
        <v>1.0930197426407533</v>
      </c>
      <c r="M39" s="188"/>
    </row>
    <row r="40" spans="1:13">
      <c r="A40" s="188"/>
      <c r="B40" s="188">
        <f t="shared" si="2"/>
        <v>2018</v>
      </c>
      <c r="C40" s="188"/>
      <c r="D40" s="440">
        <v>0.43999999999999595</v>
      </c>
      <c r="E40" s="439"/>
      <c r="F40" s="440">
        <v>0</v>
      </c>
      <c r="G40" s="52"/>
      <c r="H40" s="440">
        <v>2.1999999999999997</v>
      </c>
      <c r="I40" s="39"/>
      <c r="J40" s="48">
        <f t="shared" si="0"/>
        <v>2.6496799999999876</v>
      </c>
      <c r="K40" s="188"/>
      <c r="L40" s="33">
        <f t="shared" si="4"/>
        <v>1.0648057964143225</v>
      </c>
      <c r="M40" s="188"/>
    </row>
    <row r="41" spans="1:13" s="255" customFormat="1">
      <c r="A41" s="257"/>
      <c r="B41" s="257">
        <f t="shared" si="2"/>
        <v>2019</v>
      </c>
      <c r="C41" s="257"/>
      <c r="D41" s="440">
        <v>0.37</v>
      </c>
      <c r="E41" s="439"/>
      <c r="F41" s="440">
        <v>0</v>
      </c>
      <c r="G41" s="52"/>
      <c r="H41" s="440">
        <v>2.4</v>
      </c>
      <c r="I41" s="39"/>
      <c r="J41" s="48">
        <f t="shared" si="0"/>
        <v>2.7788800000000169</v>
      </c>
      <c r="K41" s="257"/>
      <c r="L41" s="33">
        <f t="shared" si="4"/>
        <v>1.0360161508028909</v>
      </c>
      <c r="M41" s="257"/>
    </row>
    <row r="42" spans="1:13">
      <c r="A42" s="188"/>
      <c r="B42" s="286">
        <f t="shared" si="2"/>
        <v>2020</v>
      </c>
      <c r="C42" s="286"/>
      <c r="D42" s="440">
        <v>0.42</v>
      </c>
      <c r="E42" s="439"/>
      <c r="F42" s="440">
        <v>0</v>
      </c>
      <c r="G42" s="52"/>
      <c r="H42" s="440">
        <v>0.4</v>
      </c>
      <c r="I42" s="39"/>
      <c r="J42" s="48">
        <f t="shared" si="0"/>
        <v>0.82168000000000241</v>
      </c>
      <c r="K42" s="286"/>
      <c r="L42" s="33">
        <f t="shared" si="4"/>
        <v>1.0275727906962975</v>
      </c>
      <c r="M42" s="286"/>
    </row>
    <row r="43" spans="1:13" s="331" customFormat="1">
      <c r="A43" s="286"/>
      <c r="B43" s="39">
        <f t="shared" si="2"/>
        <v>2021</v>
      </c>
      <c r="C43" s="286"/>
      <c r="D43" s="440">
        <v>0.38</v>
      </c>
      <c r="E43" s="439"/>
      <c r="F43" s="440">
        <v>0</v>
      </c>
      <c r="G43" s="52"/>
      <c r="H43" s="440">
        <v>1.5</v>
      </c>
      <c r="I43" s="39"/>
      <c r="J43" s="48">
        <f t="shared" si="0"/>
        <v>1.8856999999999902</v>
      </c>
      <c r="K43" s="286"/>
      <c r="L43" s="444">
        <f>(1+J46/100)*(1+J45/100)*(1+J44/100)</f>
        <v>1.0085544788879084</v>
      </c>
      <c r="M43" s="286"/>
    </row>
    <row r="44" spans="1:13" s="268" customFormat="1">
      <c r="A44" s="269"/>
      <c r="B44" s="377" t="s">
        <v>397</v>
      </c>
      <c r="C44" s="269"/>
      <c r="D44" s="440">
        <v>0.12650656008257322</v>
      </c>
      <c r="E44" s="439" t="s">
        <v>517</v>
      </c>
      <c r="F44" s="440">
        <v>0</v>
      </c>
      <c r="G44" s="52"/>
      <c r="H44" s="440">
        <v>0.7280203352254766</v>
      </c>
      <c r="I44" s="439" t="s">
        <v>518</v>
      </c>
      <c r="J44" s="48">
        <f t="shared" si="0"/>
        <v>0.855447888790839</v>
      </c>
      <c r="K44" s="269"/>
      <c r="L44" s="33"/>
      <c r="M44" s="269"/>
    </row>
    <row r="45" spans="1:13">
      <c r="A45" s="188"/>
      <c r="B45" s="188"/>
      <c r="C45" s="188"/>
      <c r="D45" s="258"/>
      <c r="E45" s="188"/>
      <c r="F45" s="188"/>
      <c r="G45" s="188"/>
      <c r="H45" s="188"/>
      <c r="I45" s="188"/>
      <c r="J45" s="188"/>
      <c r="K45" s="188"/>
      <c r="L45" s="188"/>
      <c r="M45" s="190"/>
    </row>
    <row r="46" spans="1:13" ht="54" customHeight="1">
      <c r="A46" s="188"/>
      <c r="B46" s="31" t="s">
        <v>22</v>
      </c>
      <c r="C46" s="534" t="s">
        <v>340</v>
      </c>
      <c r="D46" s="534"/>
      <c r="E46" s="534"/>
      <c r="F46" s="534"/>
      <c r="G46" s="534"/>
      <c r="H46" s="534"/>
      <c r="I46" s="534"/>
      <c r="J46" s="534"/>
      <c r="K46" s="534"/>
      <c r="L46" s="534"/>
      <c r="M46" s="190"/>
    </row>
    <row r="47" spans="1:13" ht="42" customHeight="1">
      <c r="A47" s="188"/>
      <c r="B47" s="31" t="s">
        <v>28</v>
      </c>
      <c r="C47" s="534" t="s">
        <v>354</v>
      </c>
      <c r="D47" s="534"/>
      <c r="E47" s="534"/>
      <c r="F47" s="534"/>
      <c r="G47" s="534"/>
      <c r="H47" s="534"/>
      <c r="I47" s="534"/>
      <c r="J47" s="534"/>
      <c r="K47" s="534"/>
      <c r="L47" s="534"/>
      <c r="M47" s="190"/>
    </row>
    <row r="48" spans="1:13" ht="14.45" customHeight="1">
      <c r="A48" s="188"/>
      <c r="B48" s="31" t="s">
        <v>38</v>
      </c>
      <c r="C48" s="534" t="s">
        <v>77</v>
      </c>
      <c r="D48" s="534"/>
      <c r="E48" s="534"/>
      <c r="F48" s="534"/>
      <c r="G48" s="534"/>
      <c r="H48" s="534"/>
      <c r="I48" s="534"/>
      <c r="J48" s="534"/>
      <c r="K48" s="534"/>
      <c r="L48" s="534"/>
      <c r="M48" s="188"/>
    </row>
    <row r="49" spans="1:13" ht="41.45" customHeight="1">
      <c r="A49" s="188"/>
      <c r="B49" s="31" t="s">
        <v>57</v>
      </c>
      <c r="C49" s="534" t="s">
        <v>542</v>
      </c>
      <c r="D49" s="534"/>
      <c r="E49" s="534"/>
      <c r="F49" s="534"/>
      <c r="G49" s="534"/>
      <c r="H49" s="534"/>
      <c r="I49" s="534"/>
      <c r="J49" s="534"/>
      <c r="K49" s="534"/>
      <c r="L49" s="534"/>
      <c r="M49" s="51"/>
    </row>
    <row r="50" spans="1:13" ht="53.25" customHeight="1">
      <c r="A50" s="188"/>
      <c r="B50" s="31" t="s">
        <v>41</v>
      </c>
      <c r="C50" s="534" t="s">
        <v>78</v>
      </c>
      <c r="D50" s="534"/>
      <c r="E50" s="534"/>
      <c r="F50" s="534"/>
      <c r="G50" s="534"/>
      <c r="H50" s="534"/>
      <c r="I50" s="534"/>
      <c r="J50" s="534"/>
      <c r="K50" s="534"/>
      <c r="L50" s="534"/>
      <c r="M50" s="190"/>
    </row>
    <row r="51" spans="1:13" s="412" customFormat="1" ht="12.75" customHeight="1">
      <c r="A51" s="286"/>
      <c r="B51" s="31"/>
      <c r="C51" s="410"/>
      <c r="D51" s="410"/>
      <c r="E51" s="410"/>
      <c r="F51" s="410"/>
      <c r="G51" s="410"/>
      <c r="H51" s="410"/>
      <c r="I51" s="410"/>
      <c r="J51" s="410"/>
      <c r="K51" s="410"/>
      <c r="L51" s="410"/>
      <c r="M51" s="410"/>
    </row>
    <row r="52" spans="1:13" ht="14.25">
      <c r="B52" s="548" t="s">
        <v>519</v>
      </c>
      <c r="C52" s="549"/>
      <c r="D52" s="549"/>
      <c r="E52" s="549"/>
      <c r="F52" s="549"/>
      <c r="G52" s="549"/>
      <c r="H52" s="549"/>
      <c r="I52" s="550"/>
    </row>
    <row r="53" spans="1:13" ht="25.5">
      <c r="B53" s="445" t="s">
        <v>186</v>
      </c>
      <c r="C53" s="446" t="s">
        <v>520</v>
      </c>
      <c r="D53" s="446" t="s">
        <v>521</v>
      </c>
      <c r="E53" s="446" t="s">
        <v>522</v>
      </c>
      <c r="F53" s="135"/>
      <c r="G53" s="446" t="s">
        <v>520</v>
      </c>
      <c r="H53" s="446" t="s">
        <v>521</v>
      </c>
      <c r="I53" s="447" t="s">
        <v>523</v>
      </c>
    </row>
    <row r="54" spans="1:13">
      <c r="B54" s="127">
        <v>2002</v>
      </c>
      <c r="C54" s="448">
        <v>0.95</v>
      </c>
      <c r="D54" s="448">
        <v>5.0000000000000044E-2</v>
      </c>
      <c r="E54" s="448">
        <v>-0.3992203893047237</v>
      </c>
      <c r="F54" s="412"/>
      <c r="G54" s="448">
        <v>0.95</v>
      </c>
      <c r="H54" s="448">
        <v>5.0000000000000044E-2</v>
      </c>
      <c r="I54" s="449">
        <v>-0.2906970357788945</v>
      </c>
    </row>
    <row r="55" spans="1:13">
      <c r="B55" s="127">
        <v>2003</v>
      </c>
      <c r="C55" s="448">
        <v>0.75</v>
      </c>
      <c r="D55" s="448">
        <v>0.25</v>
      </c>
      <c r="E55" s="448">
        <v>-0.34938214862211059</v>
      </c>
      <c r="F55" s="412"/>
      <c r="G55" s="448">
        <v>0.75</v>
      </c>
      <c r="H55" s="448">
        <v>0.25</v>
      </c>
      <c r="I55" s="449">
        <v>-0.23185613768844215</v>
      </c>
    </row>
    <row r="56" spans="1:13">
      <c r="B56" s="127">
        <v>2004</v>
      </c>
      <c r="C56" s="448">
        <v>0.4</v>
      </c>
      <c r="D56" s="448">
        <v>0.6</v>
      </c>
      <c r="E56" s="448">
        <v>-0.26216522742753778</v>
      </c>
      <c r="F56" s="412"/>
      <c r="G56" s="448">
        <v>0.4</v>
      </c>
      <c r="H56" s="448">
        <v>0.6</v>
      </c>
      <c r="I56" s="449">
        <v>-0.12888456603015075</v>
      </c>
    </row>
    <row r="57" spans="1:13" ht="25.5">
      <c r="B57" s="450" t="s">
        <v>524</v>
      </c>
      <c r="C57" s="451">
        <v>-0.41167994947537695</v>
      </c>
      <c r="D57" s="451">
        <v>-0.16248874606231156</v>
      </c>
      <c r="E57" s="411"/>
      <c r="F57" s="411"/>
      <c r="G57" s="451">
        <v>-0.30540726030150755</v>
      </c>
      <c r="H57" s="451">
        <v>-1.1202769849246175E-2</v>
      </c>
      <c r="I57" s="452"/>
    </row>
  </sheetData>
  <mergeCells count="7">
    <mergeCell ref="B52:I52"/>
    <mergeCell ref="C49:L49"/>
    <mergeCell ref="C50:L50"/>
    <mergeCell ref="A1:M1"/>
    <mergeCell ref="C46:L46"/>
    <mergeCell ref="C47:L47"/>
    <mergeCell ref="C48:L48"/>
  </mergeCells>
  <pageMargins left="0.5" right="0.5" top="0.75" bottom="0.75" header="0.33" footer="0.33"/>
  <pageSetup scale="88" orientation="portrait" blackAndWhite="1" horizontalDpi="1200" verticalDpi="1200" r:id="rId1"/>
  <headerFooter scaleWithDoc="0">
    <oddHeader>&amp;R&amp;"Arial,Regular"&amp;10Exhibit 4.1</oddHeader>
  </headerFooter>
  <ignoredErrors>
    <ignoredError sqref="D2:I2 D3:I3 K3 K2:L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4"/>
  <sheetViews>
    <sheetView zoomScaleNormal="100" workbookViewId="0"/>
  </sheetViews>
  <sheetFormatPr defaultColWidth="9.1328125" defaultRowHeight="12.75"/>
  <cols>
    <col min="1" max="1" width="14" style="110" customWidth="1"/>
    <col min="2" max="17" width="7.73046875" style="110" customWidth="1"/>
    <col min="18" max="16384" width="9.1328125" style="110"/>
  </cols>
  <sheetData>
    <row r="1" spans="1:17" ht="13.15" customHeight="1">
      <c r="A1" s="274" t="s">
        <v>17</v>
      </c>
      <c r="B1" s="274"/>
      <c r="C1" s="274"/>
      <c r="D1" s="274"/>
      <c r="E1" s="274"/>
      <c r="F1" s="274"/>
      <c r="G1" s="274"/>
      <c r="H1" s="274"/>
      <c r="I1" s="274"/>
      <c r="J1" s="274"/>
      <c r="K1" s="274"/>
      <c r="L1" s="274"/>
      <c r="M1" s="274"/>
      <c r="N1" s="274"/>
      <c r="O1" s="274"/>
      <c r="P1" s="274"/>
      <c r="Q1" s="274"/>
    </row>
    <row r="2" spans="1:17" ht="13.15" customHeight="1">
      <c r="A2" s="120"/>
      <c r="B2" s="120"/>
      <c r="C2" s="120"/>
      <c r="D2" s="120"/>
      <c r="E2" s="120"/>
      <c r="F2" s="120"/>
      <c r="G2" s="120"/>
      <c r="H2" s="120"/>
      <c r="I2" s="120"/>
      <c r="J2" s="120"/>
      <c r="K2" s="120"/>
      <c r="L2" s="120"/>
      <c r="M2" s="120"/>
      <c r="N2" s="120"/>
      <c r="O2" s="120"/>
      <c r="P2" s="122"/>
    </row>
    <row r="3" spans="1:17" ht="13.15" customHeight="1">
      <c r="A3" s="122"/>
      <c r="B3" s="275" t="s">
        <v>18</v>
      </c>
      <c r="C3" s="275"/>
      <c r="D3" s="275"/>
      <c r="E3" s="275"/>
      <c r="F3" s="275"/>
      <c r="G3" s="275"/>
      <c r="H3" s="275"/>
      <c r="I3" s="275"/>
      <c r="J3" s="275"/>
      <c r="K3" s="275"/>
      <c r="L3" s="275"/>
      <c r="M3" s="275"/>
      <c r="N3" s="275"/>
      <c r="O3" s="275"/>
      <c r="P3" s="275"/>
      <c r="Q3" s="275"/>
    </row>
    <row r="4" spans="1:17" ht="13.15" customHeight="1">
      <c r="A4" s="11" t="s">
        <v>19</v>
      </c>
      <c r="B4" s="414" t="s">
        <v>470</v>
      </c>
      <c r="C4" s="414" t="s">
        <v>471</v>
      </c>
      <c r="D4" s="414" t="s">
        <v>472</v>
      </c>
      <c r="E4" s="414" t="s">
        <v>473</v>
      </c>
      <c r="F4" s="414" t="s">
        <v>474</v>
      </c>
      <c r="G4" s="414" t="s">
        <v>475</v>
      </c>
      <c r="H4" s="414" t="s">
        <v>476</v>
      </c>
      <c r="I4" s="414" t="s">
        <v>477</v>
      </c>
      <c r="J4" s="414" t="s">
        <v>478</v>
      </c>
      <c r="K4" s="414" t="s">
        <v>479</v>
      </c>
      <c r="L4" s="414" t="s">
        <v>480</v>
      </c>
      <c r="M4" s="414" t="s">
        <v>481</v>
      </c>
      <c r="N4" s="414" t="s">
        <v>482</v>
      </c>
      <c r="O4" s="414" t="s">
        <v>483</v>
      </c>
      <c r="P4" s="414" t="s">
        <v>484</v>
      </c>
      <c r="Q4" s="414" t="s">
        <v>485</v>
      </c>
    </row>
    <row r="5" spans="1:17" ht="13.15" customHeight="1">
      <c r="A5" s="12">
        <f t="shared" ref="A5:A28" si="0">+A6-1</f>
        <v>1994</v>
      </c>
      <c r="B5" s="415" t="s">
        <v>34</v>
      </c>
      <c r="C5" s="415" t="s">
        <v>34</v>
      </c>
      <c r="D5" s="415" t="s">
        <v>34</v>
      </c>
      <c r="E5" s="415" t="s">
        <v>34</v>
      </c>
      <c r="F5" s="415" t="s">
        <v>34</v>
      </c>
      <c r="G5" s="415" t="s">
        <v>34</v>
      </c>
      <c r="H5" s="415" t="s">
        <v>34</v>
      </c>
      <c r="I5" s="415" t="s">
        <v>34</v>
      </c>
      <c r="J5" s="415" t="s">
        <v>34</v>
      </c>
      <c r="K5" s="415" t="s">
        <v>34</v>
      </c>
      <c r="L5" s="415">
        <v>1.002</v>
      </c>
      <c r="M5" s="415">
        <v>1.0009999999999999</v>
      </c>
      <c r="N5" s="415">
        <v>1.002</v>
      </c>
      <c r="O5" s="415">
        <v>0.999</v>
      </c>
      <c r="P5" s="415">
        <v>0.999</v>
      </c>
      <c r="Q5" s="415">
        <v>1.0009999999999999</v>
      </c>
    </row>
    <row r="6" spans="1:17" ht="13.15" customHeight="1">
      <c r="A6" s="12">
        <f t="shared" si="0"/>
        <v>1995</v>
      </c>
      <c r="B6" s="415" t="s">
        <v>34</v>
      </c>
      <c r="C6" s="415" t="s">
        <v>34</v>
      </c>
      <c r="D6" s="415" t="s">
        <v>34</v>
      </c>
      <c r="E6" s="415" t="s">
        <v>34</v>
      </c>
      <c r="F6" s="415" t="s">
        <v>34</v>
      </c>
      <c r="G6" s="415" t="s">
        <v>34</v>
      </c>
      <c r="H6" s="415" t="s">
        <v>34</v>
      </c>
      <c r="I6" s="415" t="s">
        <v>34</v>
      </c>
      <c r="J6" s="415" t="s">
        <v>34</v>
      </c>
      <c r="K6" s="415">
        <v>1.002</v>
      </c>
      <c r="L6" s="415">
        <v>1.0029999999999999</v>
      </c>
      <c r="M6" s="415">
        <v>1.002</v>
      </c>
      <c r="N6" s="415">
        <v>1.0029999999999999</v>
      </c>
      <c r="O6" s="415">
        <v>1.0009999999999999</v>
      </c>
      <c r="P6" s="415">
        <v>1.002</v>
      </c>
      <c r="Q6" s="415">
        <v>1.0009999999999999</v>
      </c>
    </row>
    <row r="7" spans="1:17" ht="13.15" customHeight="1">
      <c r="A7" s="12">
        <f t="shared" si="0"/>
        <v>1996</v>
      </c>
      <c r="B7" s="415" t="s">
        <v>34</v>
      </c>
      <c r="C7" s="415" t="s">
        <v>34</v>
      </c>
      <c r="D7" s="415" t="s">
        <v>34</v>
      </c>
      <c r="E7" s="415" t="s">
        <v>34</v>
      </c>
      <c r="F7" s="415" t="s">
        <v>34</v>
      </c>
      <c r="G7" s="415" t="s">
        <v>34</v>
      </c>
      <c r="H7" s="415" t="s">
        <v>34</v>
      </c>
      <c r="I7" s="415" t="s">
        <v>34</v>
      </c>
      <c r="J7" s="415">
        <v>1.0029999999999999</v>
      </c>
      <c r="K7" s="415">
        <v>1.002</v>
      </c>
      <c r="L7" s="415">
        <v>1.002</v>
      </c>
      <c r="M7" s="415">
        <v>1.002</v>
      </c>
      <c r="N7" s="415">
        <v>1</v>
      </c>
      <c r="O7" s="415">
        <v>0.999</v>
      </c>
      <c r="P7" s="415">
        <v>1.002</v>
      </c>
      <c r="Q7" s="415">
        <v>1.0009999999999999</v>
      </c>
    </row>
    <row r="8" spans="1:17" ht="13.15" customHeight="1">
      <c r="A8" s="12">
        <f t="shared" si="0"/>
        <v>1997</v>
      </c>
      <c r="B8" s="415" t="s">
        <v>34</v>
      </c>
      <c r="C8" s="415" t="s">
        <v>34</v>
      </c>
      <c r="D8" s="415" t="s">
        <v>34</v>
      </c>
      <c r="E8" s="415" t="s">
        <v>34</v>
      </c>
      <c r="F8" s="415" t="s">
        <v>34</v>
      </c>
      <c r="G8" s="415" t="s">
        <v>34</v>
      </c>
      <c r="H8" s="415" t="s">
        <v>34</v>
      </c>
      <c r="I8" s="415">
        <v>1.004</v>
      </c>
      <c r="J8" s="415">
        <v>1.006</v>
      </c>
      <c r="K8" s="415">
        <v>1.0049999999999999</v>
      </c>
      <c r="L8" s="415">
        <v>1.0029999999999999</v>
      </c>
      <c r="M8" s="415">
        <v>1.002</v>
      </c>
      <c r="N8" s="415">
        <v>1.0029999999999999</v>
      </c>
      <c r="O8" s="415">
        <v>1.002</v>
      </c>
      <c r="P8" s="415">
        <v>1.0009999999999999</v>
      </c>
      <c r="Q8" s="415">
        <v>1.0009999999999999</v>
      </c>
    </row>
    <row r="9" spans="1:17" ht="13.15" customHeight="1">
      <c r="A9" s="12">
        <f t="shared" si="0"/>
        <v>1998</v>
      </c>
      <c r="B9" s="415" t="s">
        <v>34</v>
      </c>
      <c r="C9" s="415" t="s">
        <v>34</v>
      </c>
      <c r="D9" s="415" t="s">
        <v>34</v>
      </c>
      <c r="E9" s="415" t="s">
        <v>34</v>
      </c>
      <c r="F9" s="415" t="s">
        <v>34</v>
      </c>
      <c r="G9" s="415" t="s">
        <v>34</v>
      </c>
      <c r="H9" s="415">
        <v>1.0049999999999999</v>
      </c>
      <c r="I9" s="415">
        <v>1.008</v>
      </c>
      <c r="J9" s="415">
        <v>1.004</v>
      </c>
      <c r="K9" s="415">
        <v>1.002</v>
      </c>
      <c r="L9" s="415">
        <v>1.002</v>
      </c>
      <c r="M9" s="415">
        <v>1.004</v>
      </c>
      <c r="N9" s="415">
        <v>1.004</v>
      </c>
      <c r="O9" s="415">
        <v>1</v>
      </c>
      <c r="P9" s="415">
        <v>1.0029999999999999</v>
      </c>
      <c r="Q9" s="415">
        <v>1.0009999999999999</v>
      </c>
    </row>
    <row r="10" spans="1:17" ht="13.15" customHeight="1">
      <c r="A10" s="12">
        <f t="shared" si="0"/>
        <v>1999</v>
      </c>
      <c r="B10" s="415" t="s">
        <v>34</v>
      </c>
      <c r="C10" s="415" t="s">
        <v>34</v>
      </c>
      <c r="D10" s="415" t="s">
        <v>34</v>
      </c>
      <c r="E10" s="415" t="s">
        <v>34</v>
      </c>
      <c r="F10" s="415" t="s">
        <v>34</v>
      </c>
      <c r="G10" s="415">
        <v>1.012</v>
      </c>
      <c r="H10" s="415">
        <v>1.0109999999999999</v>
      </c>
      <c r="I10" s="415">
        <v>1.0029999999999999</v>
      </c>
      <c r="J10" s="415">
        <v>1.0069999999999999</v>
      </c>
      <c r="K10" s="415">
        <v>1.004</v>
      </c>
      <c r="L10" s="415">
        <v>1.002</v>
      </c>
      <c r="M10" s="415">
        <v>1.004</v>
      </c>
      <c r="N10" s="415">
        <v>1.0029999999999999</v>
      </c>
      <c r="O10" s="415">
        <v>1.002</v>
      </c>
      <c r="P10" s="415">
        <v>1.002</v>
      </c>
      <c r="Q10" s="415">
        <v>1</v>
      </c>
    </row>
    <row r="11" spans="1:17" ht="13.15" customHeight="1">
      <c r="A11" s="12">
        <f t="shared" si="0"/>
        <v>2000</v>
      </c>
      <c r="B11" s="415" t="s">
        <v>34</v>
      </c>
      <c r="C11" s="415" t="s">
        <v>34</v>
      </c>
      <c r="D11" s="415" t="s">
        <v>34</v>
      </c>
      <c r="E11" s="415" t="s">
        <v>34</v>
      </c>
      <c r="F11" s="415">
        <v>1.018</v>
      </c>
      <c r="G11" s="415">
        <v>1.014</v>
      </c>
      <c r="H11" s="415">
        <v>1.0089999999999999</v>
      </c>
      <c r="I11" s="415">
        <v>1.0069999999999999</v>
      </c>
      <c r="J11" s="415">
        <v>1.0049999999999999</v>
      </c>
      <c r="K11" s="415">
        <v>1.004</v>
      </c>
      <c r="L11" s="415">
        <v>1.004</v>
      </c>
      <c r="M11" s="415">
        <v>1.0029999999999999</v>
      </c>
      <c r="N11" s="415">
        <v>1.002</v>
      </c>
      <c r="O11" s="415">
        <v>1.0029999999999999</v>
      </c>
      <c r="P11" s="415">
        <v>1.002</v>
      </c>
      <c r="Q11" s="415">
        <v>1</v>
      </c>
    </row>
    <row r="12" spans="1:17" ht="13.15" customHeight="1">
      <c r="A12" s="12">
        <f t="shared" si="0"/>
        <v>2001</v>
      </c>
      <c r="B12" s="415" t="s">
        <v>34</v>
      </c>
      <c r="C12" s="415" t="s">
        <v>34</v>
      </c>
      <c r="D12" s="415" t="s">
        <v>34</v>
      </c>
      <c r="E12" s="415">
        <v>1.0269999999999999</v>
      </c>
      <c r="F12" s="415">
        <v>1.0209999999999999</v>
      </c>
      <c r="G12" s="415">
        <v>1.018</v>
      </c>
      <c r="H12" s="415">
        <v>1.014</v>
      </c>
      <c r="I12" s="415">
        <v>1.0069999999999999</v>
      </c>
      <c r="J12" s="415">
        <v>1.008</v>
      </c>
      <c r="K12" s="415">
        <v>1.0069999999999999</v>
      </c>
      <c r="L12" s="415">
        <v>1.0049999999999999</v>
      </c>
      <c r="M12" s="415">
        <v>1.0049999999999999</v>
      </c>
      <c r="N12" s="415">
        <v>1.0029999999999999</v>
      </c>
      <c r="O12" s="415">
        <v>1.0009999999999999</v>
      </c>
      <c r="P12" s="415">
        <v>1.002</v>
      </c>
      <c r="Q12" s="415">
        <v>1.0009999999999999</v>
      </c>
    </row>
    <row r="13" spans="1:17" ht="13.15" customHeight="1">
      <c r="A13" s="12">
        <f t="shared" si="0"/>
        <v>2002</v>
      </c>
      <c r="B13" s="415" t="s">
        <v>34</v>
      </c>
      <c r="C13" s="415" t="s">
        <v>34</v>
      </c>
      <c r="D13" s="415">
        <v>1.0509999999999999</v>
      </c>
      <c r="E13" s="415">
        <v>1.032</v>
      </c>
      <c r="F13" s="415">
        <v>1.0269999999999999</v>
      </c>
      <c r="G13" s="415">
        <v>1.0189999999999999</v>
      </c>
      <c r="H13" s="415">
        <v>1.01</v>
      </c>
      <c r="I13" s="415">
        <v>1.0109999999999999</v>
      </c>
      <c r="J13" s="415">
        <v>1.0089999999999999</v>
      </c>
      <c r="K13" s="415">
        <v>1.006</v>
      </c>
      <c r="L13" s="415">
        <v>1.0049999999999999</v>
      </c>
      <c r="M13" s="415">
        <v>1.002</v>
      </c>
      <c r="N13" s="415">
        <v>1.0009999999999999</v>
      </c>
      <c r="O13" s="415">
        <v>1.0029999999999999</v>
      </c>
      <c r="P13" s="415">
        <v>1.002</v>
      </c>
      <c r="Q13" s="415">
        <v>1.002</v>
      </c>
    </row>
    <row r="14" spans="1:17" ht="13.15" customHeight="1">
      <c r="A14" s="12">
        <f t="shared" si="0"/>
        <v>2003</v>
      </c>
      <c r="B14" s="415" t="s">
        <v>34</v>
      </c>
      <c r="C14" s="415">
        <v>1.125</v>
      </c>
      <c r="D14" s="415">
        <v>1.0680000000000001</v>
      </c>
      <c r="E14" s="415">
        <v>1.0469999999999999</v>
      </c>
      <c r="F14" s="415">
        <v>1.03</v>
      </c>
      <c r="G14" s="415">
        <v>1.018</v>
      </c>
      <c r="H14" s="415">
        <v>1.02</v>
      </c>
      <c r="I14" s="415">
        <v>1.016</v>
      </c>
      <c r="J14" s="415">
        <v>1.012</v>
      </c>
      <c r="K14" s="415">
        <v>1.008</v>
      </c>
      <c r="L14" s="415">
        <v>1.008</v>
      </c>
      <c r="M14" s="415">
        <v>1.002</v>
      </c>
      <c r="N14" s="415">
        <v>1.0029999999999999</v>
      </c>
      <c r="O14" s="415">
        <v>1.0029999999999999</v>
      </c>
      <c r="P14" s="415">
        <v>1.002</v>
      </c>
      <c r="Q14" s="415">
        <v>1.0049999999999999</v>
      </c>
    </row>
    <row r="15" spans="1:17" ht="13.15" customHeight="1">
      <c r="A15" s="12">
        <f t="shared" si="0"/>
        <v>2004</v>
      </c>
      <c r="B15" s="415">
        <v>1.2829999999999999</v>
      </c>
      <c r="C15" s="415">
        <v>1.1399999999999999</v>
      </c>
      <c r="D15" s="415">
        <v>1.0629999999999999</v>
      </c>
      <c r="E15" s="415">
        <v>1.042</v>
      </c>
      <c r="F15" s="415">
        <v>1.0369999999999999</v>
      </c>
      <c r="G15" s="415">
        <v>1.026</v>
      </c>
      <c r="H15" s="415">
        <v>1.0249999999999999</v>
      </c>
      <c r="I15" s="415">
        <v>1.0149999999999999</v>
      </c>
      <c r="J15" s="415">
        <v>1.0149999999999999</v>
      </c>
      <c r="K15" s="415">
        <v>1.0069999999999999</v>
      </c>
      <c r="L15" s="415">
        <v>1.006</v>
      </c>
      <c r="M15" s="415">
        <v>1.0029999999999999</v>
      </c>
      <c r="N15" s="415">
        <v>1.0009999999999999</v>
      </c>
      <c r="O15" s="415">
        <v>1.002</v>
      </c>
      <c r="P15" s="415">
        <v>1.0049999999999999</v>
      </c>
      <c r="Q15" s="415" t="s">
        <v>34</v>
      </c>
    </row>
    <row r="16" spans="1:17" ht="13.15" customHeight="1">
      <c r="A16" s="12">
        <f t="shared" si="0"/>
        <v>2005</v>
      </c>
      <c r="B16" s="415">
        <v>1.4</v>
      </c>
      <c r="C16" s="415">
        <v>1.1679999999999999</v>
      </c>
      <c r="D16" s="415">
        <v>1.085</v>
      </c>
      <c r="E16" s="415">
        <v>1.0629999999999999</v>
      </c>
      <c r="F16" s="415">
        <v>1.0489999999999999</v>
      </c>
      <c r="G16" s="415">
        <v>1.0389999999999999</v>
      </c>
      <c r="H16" s="415">
        <v>1.022</v>
      </c>
      <c r="I16" s="415">
        <v>1.016</v>
      </c>
      <c r="J16" s="415">
        <v>1.01</v>
      </c>
      <c r="K16" s="415">
        <v>1.0049999999999999</v>
      </c>
      <c r="L16" s="415">
        <v>1.006</v>
      </c>
      <c r="M16" s="415">
        <v>1.004</v>
      </c>
      <c r="N16" s="415">
        <v>1.0029999999999999</v>
      </c>
      <c r="O16" s="415">
        <v>1.004</v>
      </c>
      <c r="P16" s="415" t="s">
        <v>34</v>
      </c>
      <c r="Q16" s="415" t="s">
        <v>34</v>
      </c>
    </row>
    <row r="17" spans="1:17" ht="13.15" customHeight="1">
      <c r="A17" s="12">
        <f t="shared" si="0"/>
        <v>2006</v>
      </c>
      <c r="B17" s="415">
        <v>1.5189999999999999</v>
      </c>
      <c r="C17" s="415">
        <v>1.1879999999999999</v>
      </c>
      <c r="D17" s="415">
        <v>1.1000000000000001</v>
      </c>
      <c r="E17" s="415">
        <v>1.0720000000000001</v>
      </c>
      <c r="F17" s="415">
        <v>1.0509999999999999</v>
      </c>
      <c r="G17" s="415">
        <v>1.0309999999999999</v>
      </c>
      <c r="H17" s="415">
        <v>1.02</v>
      </c>
      <c r="I17" s="415">
        <v>1.012</v>
      </c>
      <c r="J17" s="415">
        <v>1.008</v>
      </c>
      <c r="K17" s="415">
        <v>1.008</v>
      </c>
      <c r="L17" s="415">
        <v>1.0049999999999999</v>
      </c>
      <c r="M17" s="415">
        <v>1.002</v>
      </c>
      <c r="N17" s="415">
        <v>1.0049999999999999</v>
      </c>
      <c r="O17" s="415" t="s">
        <v>34</v>
      </c>
      <c r="P17" s="415" t="s">
        <v>34</v>
      </c>
      <c r="Q17" s="415" t="s">
        <v>34</v>
      </c>
    </row>
    <row r="18" spans="1:17" ht="13.15" customHeight="1">
      <c r="A18" s="12">
        <f t="shared" si="0"/>
        <v>2007</v>
      </c>
      <c r="B18" s="415">
        <v>1.5620000000000001</v>
      </c>
      <c r="C18" s="415">
        <v>1.216</v>
      </c>
      <c r="D18" s="415">
        <v>1.1040000000000001</v>
      </c>
      <c r="E18" s="415">
        <v>1.0660000000000001</v>
      </c>
      <c r="F18" s="415">
        <v>1.0449999999999999</v>
      </c>
      <c r="G18" s="415">
        <v>1.03</v>
      </c>
      <c r="H18" s="415">
        <v>1.022</v>
      </c>
      <c r="I18" s="415">
        <v>1.012</v>
      </c>
      <c r="J18" s="415">
        <v>1.0089999999999999</v>
      </c>
      <c r="K18" s="415">
        <v>1.0029999999999999</v>
      </c>
      <c r="L18" s="415">
        <v>1.0089999999999999</v>
      </c>
      <c r="M18" s="415">
        <v>1.008</v>
      </c>
      <c r="N18" s="415" t="s">
        <v>34</v>
      </c>
      <c r="O18" s="415" t="s">
        <v>34</v>
      </c>
      <c r="P18" s="415" t="s">
        <v>34</v>
      </c>
      <c r="Q18" s="415" t="s">
        <v>34</v>
      </c>
    </row>
    <row r="19" spans="1:17" ht="13.15" customHeight="1">
      <c r="A19" s="12">
        <f t="shared" si="0"/>
        <v>2008</v>
      </c>
      <c r="B19" s="415">
        <v>1.6180000000000001</v>
      </c>
      <c r="C19" s="415">
        <v>1.2450000000000001</v>
      </c>
      <c r="D19" s="415">
        <v>1.1160000000000001</v>
      </c>
      <c r="E19" s="415">
        <v>1.0629999999999999</v>
      </c>
      <c r="F19" s="415">
        <v>1.0429999999999999</v>
      </c>
      <c r="G19" s="415">
        <v>1.0249999999999999</v>
      </c>
      <c r="H19" s="415">
        <v>1.018</v>
      </c>
      <c r="I19" s="415">
        <v>1.0109999999999999</v>
      </c>
      <c r="J19" s="415">
        <v>1.008</v>
      </c>
      <c r="K19" s="415">
        <v>1.0069999999999999</v>
      </c>
      <c r="L19" s="415">
        <v>1.0069999999999999</v>
      </c>
      <c r="M19" s="415" t="s">
        <v>34</v>
      </c>
      <c r="N19" s="415" t="s">
        <v>34</v>
      </c>
      <c r="O19" s="415" t="s">
        <v>34</v>
      </c>
      <c r="P19" s="415" t="s">
        <v>34</v>
      </c>
      <c r="Q19" s="415" t="s">
        <v>34</v>
      </c>
    </row>
    <row r="20" spans="1:17" ht="13.15" customHeight="1">
      <c r="A20" s="12">
        <f t="shared" si="0"/>
        <v>2009</v>
      </c>
      <c r="B20" s="415">
        <v>1.67</v>
      </c>
      <c r="C20" s="415">
        <v>1.2330000000000001</v>
      </c>
      <c r="D20" s="415">
        <v>1.1240000000000001</v>
      </c>
      <c r="E20" s="415">
        <v>1.0669999999999999</v>
      </c>
      <c r="F20" s="415">
        <v>1.0429999999999999</v>
      </c>
      <c r="G20" s="415">
        <v>1.0209999999999999</v>
      </c>
      <c r="H20" s="415">
        <v>1.016</v>
      </c>
      <c r="I20" s="415">
        <v>1.0129999999999999</v>
      </c>
      <c r="J20" s="415">
        <v>1.01</v>
      </c>
      <c r="K20" s="415">
        <v>1.0089999999999999</v>
      </c>
      <c r="L20" s="415" t="s">
        <v>34</v>
      </c>
      <c r="M20" s="415" t="s">
        <v>34</v>
      </c>
      <c r="N20" s="415" t="s">
        <v>34</v>
      </c>
      <c r="O20" s="415" t="s">
        <v>34</v>
      </c>
      <c r="P20" s="415" t="s">
        <v>34</v>
      </c>
      <c r="Q20" s="415" t="s">
        <v>34</v>
      </c>
    </row>
    <row r="21" spans="1:17" ht="13.15" customHeight="1">
      <c r="A21" s="12">
        <f t="shared" si="0"/>
        <v>2010</v>
      </c>
      <c r="B21" s="415">
        <v>1.665</v>
      </c>
      <c r="C21" s="415">
        <v>1.25</v>
      </c>
      <c r="D21" s="415">
        <v>1.1120000000000001</v>
      </c>
      <c r="E21" s="415">
        <v>1.0620000000000001</v>
      </c>
      <c r="F21" s="415">
        <v>1.0369999999999999</v>
      </c>
      <c r="G21" s="415">
        <v>1.0229999999999999</v>
      </c>
      <c r="H21" s="415">
        <v>1.0169999999999999</v>
      </c>
      <c r="I21" s="415">
        <v>1.0109999999999999</v>
      </c>
      <c r="J21" s="415">
        <v>1.0089999999999999</v>
      </c>
      <c r="K21" s="415" t="s">
        <v>34</v>
      </c>
      <c r="L21" s="415" t="s">
        <v>34</v>
      </c>
      <c r="M21" s="415" t="s">
        <v>34</v>
      </c>
      <c r="N21" s="415" t="s">
        <v>34</v>
      </c>
      <c r="O21" s="415" t="s">
        <v>34</v>
      </c>
      <c r="P21" s="415" t="s">
        <v>34</v>
      </c>
      <c r="Q21" s="415" t="s">
        <v>34</v>
      </c>
    </row>
    <row r="22" spans="1:17" ht="13.15" customHeight="1">
      <c r="A22" s="12">
        <f t="shared" si="0"/>
        <v>2011</v>
      </c>
      <c r="B22" s="415">
        <v>1.657</v>
      </c>
      <c r="C22" s="415">
        <v>1.2250000000000001</v>
      </c>
      <c r="D22" s="415">
        <v>1.109</v>
      </c>
      <c r="E22" s="415">
        <v>1.0529999999999999</v>
      </c>
      <c r="F22" s="415">
        <v>1.032</v>
      </c>
      <c r="G22" s="415">
        <v>1.024</v>
      </c>
      <c r="H22" s="415">
        <v>1.016</v>
      </c>
      <c r="I22" s="415">
        <v>1.01</v>
      </c>
      <c r="J22" s="415" t="s">
        <v>34</v>
      </c>
      <c r="K22" s="415" t="s">
        <v>34</v>
      </c>
      <c r="L22" s="415" t="s">
        <v>34</v>
      </c>
      <c r="M22" s="415" t="s">
        <v>34</v>
      </c>
      <c r="N22" s="415" t="s">
        <v>34</v>
      </c>
      <c r="O22" s="415" t="s">
        <v>34</v>
      </c>
      <c r="P22" s="415" t="s">
        <v>34</v>
      </c>
      <c r="Q22" s="415" t="s">
        <v>34</v>
      </c>
    </row>
    <row r="23" spans="1:17" ht="13.15" customHeight="1">
      <c r="A23" s="12">
        <f t="shared" si="0"/>
        <v>2012</v>
      </c>
      <c r="B23" s="415">
        <v>1.6619999999999999</v>
      </c>
      <c r="C23" s="415">
        <v>1.218</v>
      </c>
      <c r="D23" s="415">
        <v>1.093</v>
      </c>
      <c r="E23" s="415">
        <v>1.0589999999999999</v>
      </c>
      <c r="F23" s="415">
        <v>1.0329999999999999</v>
      </c>
      <c r="G23" s="415">
        <v>1.022</v>
      </c>
      <c r="H23" s="415">
        <v>1.014</v>
      </c>
      <c r="I23" s="415" t="s">
        <v>34</v>
      </c>
      <c r="J23" s="415" t="s">
        <v>34</v>
      </c>
      <c r="K23" s="415" t="s">
        <v>34</v>
      </c>
      <c r="L23" s="415" t="s">
        <v>34</v>
      </c>
      <c r="M23" s="415" t="s">
        <v>34</v>
      </c>
      <c r="N23" s="415" t="s">
        <v>34</v>
      </c>
      <c r="O23" s="415" t="s">
        <v>34</v>
      </c>
      <c r="P23" s="415" t="s">
        <v>34</v>
      </c>
      <c r="Q23" s="415" t="s">
        <v>34</v>
      </c>
    </row>
    <row r="24" spans="1:17" ht="13.15" customHeight="1">
      <c r="A24" s="12">
        <f t="shared" si="0"/>
        <v>2013</v>
      </c>
      <c r="B24" s="415">
        <v>1.6040000000000001</v>
      </c>
      <c r="C24" s="415">
        <v>1.2010000000000001</v>
      </c>
      <c r="D24" s="415">
        <v>1.093</v>
      </c>
      <c r="E24" s="415">
        <v>1.0469999999999999</v>
      </c>
      <c r="F24" s="415">
        <v>1.03</v>
      </c>
      <c r="G24" s="415">
        <v>1.0169999999999999</v>
      </c>
      <c r="H24" s="415" t="s">
        <v>34</v>
      </c>
      <c r="I24" s="415" t="s">
        <v>34</v>
      </c>
      <c r="J24" s="415" t="s">
        <v>34</v>
      </c>
      <c r="K24" s="415" t="s">
        <v>34</v>
      </c>
      <c r="L24" s="415" t="s">
        <v>34</v>
      </c>
      <c r="M24" s="415" t="s">
        <v>34</v>
      </c>
      <c r="N24" s="415" t="s">
        <v>34</v>
      </c>
      <c r="O24" s="415" t="s">
        <v>34</v>
      </c>
      <c r="P24" s="415" t="s">
        <v>34</v>
      </c>
      <c r="Q24" s="415" t="s">
        <v>34</v>
      </c>
    </row>
    <row r="25" spans="1:17" ht="13.15" customHeight="1">
      <c r="A25" s="12">
        <f t="shared" si="0"/>
        <v>2014</v>
      </c>
      <c r="B25" s="415">
        <v>1.625</v>
      </c>
      <c r="C25" s="415">
        <v>1.224</v>
      </c>
      <c r="D25" s="415">
        <v>1.097</v>
      </c>
      <c r="E25" s="415">
        <v>1.0489999999999999</v>
      </c>
      <c r="F25" s="415">
        <v>1.0229999999999999</v>
      </c>
      <c r="G25" s="415" t="s">
        <v>34</v>
      </c>
      <c r="H25" s="415" t="s">
        <v>34</v>
      </c>
      <c r="I25" s="415" t="s">
        <v>34</v>
      </c>
      <c r="J25" s="415" t="s">
        <v>34</v>
      </c>
      <c r="K25" s="415" t="s">
        <v>34</v>
      </c>
      <c r="L25" s="415" t="s">
        <v>34</v>
      </c>
      <c r="M25" s="415" t="s">
        <v>34</v>
      </c>
      <c r="N25" s="415" t="s">
        <v>34</v>
      </c>
      <c r="O25" s="415" t="s">
        <v>34</v>
      </c>
      <c r="P25" s="415" t="s">
        <v>34</v>
      </c>
      <c r="Q25" s="415" t="s">
        <v>34</v>
      </c>
    </row>
    <row r="26" spans="1:17" ht="13.15" customHeight="1">
      <c r="A26" s="12">
        <f t="shared" si="0"/>
        <v>2015</v>
      </c>
      <c r="B26" s="415">
        <v>1.63</v>
      </c>
      <c r="C26" s="415">
        <v>1.1950000000000001</v>
      </c>
      <c r="D26" s="415">
        <v>1.085</v>
      </c>
      <c r="E26" s="415">
        <v>1.0389999999999999</v>
      </c>
      <c r="F26" s="415" t="s">
        <v>34</v>
      </c>
      <c r="G26" s="415" t="s">
        <v>34</v>
      </c>
      <c r="H26" s="415" t="s">
        <v>34</v>
      </c>
      <c r="I26" s="415" t="s">
        <v>34</v>
      </c>
      <c r="J26" s="415" t="s">
        <v>34</v>
      </c>
      <c r="K26" s="415" t="s">
        <v>34</v>
      </c>
      <c r="L26" s="415" t="s">
        <v>34</v>
      </c>
      <c r="M26" s="415" t="s">
        <v>34</v>
      </c>
      <c r="N26" s="415" t="s">
        <v>34</v>
      </c>
      <c r="O26" s="415" t="s">
        <v>34</v>
      </c>
      <c r="P26" s="415" t="s">
        <v>34</v>
      </c>
      <c r="Q26" s="415" t="s">
        <v>34</v>
      </c>
    </row>
    <row r="27" spans="1:17" ht="13.15" customHeight="1">
      <c r="A27" s="12">
        <f t="shared" si="0"/>
        <v>2016</v>
      </c>
      <c r="B27" s="415">
        <v>1.6060000000000001</v>
      </c>
      <c r="C27" s="415">
        <v>1.1870000000000001</v>
      </c>
      <c r="D27" s="415">
        <v>1.08</v>
      </c>
      <c r="E27" s="415" t="s">
        <v>34</v>
      </c>
      <c r="F27" s="415" t="s">
        <v>34</v>
      </c>
      <c r="G27" s="415" t="s">
        <v>34</v>
      </c>
      <c r="H27" s="415" t="s">
        <v>34</v>
      </c>
      <c r="I27" s="415" t="s">
        <v>34</v>
      </c>
      <c r="J27" s="415" t="s">
        <v>34</v>
      </c>
      <c r="K27" s="415" t="s">
        <v>34</v>
      </c>
      <c r="L27" s="415" t="s">
        <v>34</v>
      </c>
      <c r="M27" s="415" t="s">
        <v>34</v>
      </c>
      <c r="N27" s="415" t="s">
        <v>34</v>
      </c>
      <c r="O27" s="415" t="s">
        <v>34</v>
      </c>
      <c r="P27" s="415" t="s">
        <v>34</v>
      </c>
      <c r="Q27" s="415" t="s">
        <v>34</v>
      </c>
    </row>
    <row r="28" spans="1:17" ht="13.15" customHeight="1">
      <c r="A28" s="12">
        <f t="shared" si="0"/>
        <v>2017</v>
      </c>
      <c r="B28" s="415">
        <v>1.5880000000000001</v>
      </c>
      <c r="C28" s="415">
        <v>1.1830000000000001</v>
      </c>
      <c r="D28" s="415" t="s">
        <v>34</v>
      </c>
      <c r="E28" s="415" t="s">
        <v>34</v>
      </c>
      <c r="F28" s="415" t="s">
        <v>34</v>
      </c>
      <c r="G28" s="415" t="s">
        <v>34</v>
      </c>
      <c r="H28" s="415" t="s">
        <v>34</v>
      </c>
      <c r="I28" s="415" t="s">
        <v>34</v>
      </c>
      <c r="J28" s="415" t="s">
        <v>34</v>
      </c>
      <c r="K28" s="415" t="s">
        <v>34</v>
      </c>
      <c r="L28" s="415" t="s">
        <v>34</v>
      </c>
      <c r="M28" s="415" t="s">
        <v>34</v>
      </c>
      <c r="N28" s="415" t="s">
        <v>34</v>
      </c>
      <c r="O28" s="415" t="s">
        <v>34</v>
      </c>
      <c r="P28" s="415" t="s">
        <v>34</v>
      </c>
      <c r="Q28" s="415" t="s">
        <v>34</v>
      </c>
    </row>
    <row r="29" spans="1:17" ht="13.15" customHeight="1">
      <c r="A29" s="12">
        <v>2018</v>
      </c>
      <c r="B29" s="415">
        <v>1.5680000000000001</v>
      </c>
      <c r="C29" s="415" t="s">
        <v>34</v>
      </c>
      <c r="D29" s="415" t="s">
        <v>34</v>
      </c>
      <c r="E29" s="415" t="s">
        <v>34</v>
      </c>
      <c r="F29" s="415" t="s">
        <v>34</v>
      </c>
      <c r="G29" s="415" t="s">
        <v>34</v>
      </c>
      <c r="H29" s="415" t="s">
        <v>34</v>
      </c>
      <c r="I29" s="415" t="s">
        <v>34</v>
      </c>
      <c r="J29" s="415" t="s">
        <v>34</v>
      </c>
      <c r="K29" s="415" t="s">
        <v>34</v>
      </c>
      <c r="L29" s="415" t="s">
        <v>34</v>
      </c>
      <c r="M29" s="415" t="s">
        <v>34</v>
      </c>
      <c r="N29" s="415" t="s">
        <v>34</v>
      </c>
      <c r="O29" s="415" t="s">
        <v>34</v>
      </c>
      <c r="P29" s="415" t="s">
        <v>34</v>
      </c>
      <c r="Q29" s="415" t="s">
        <v>34</v>
      </c>
    </row>
    <row r="30" spans="1:17" ht="13.15" customHeight="1">
      <c r="B30" s="122"/>
      <c r="C30" s="122"/>
      <c r="D30" s="122"/>
      <c r="E30" s="122"/>
      <c r="F30" s="122"/>
      <c r="G30" s="122"/>
      <c r="H30" s="122"/>
      <c r="I30" s="13"/>
      <c r="J30" s="122"/>
      <c r="K30" s="122"/>
      <c r="L30" s="122"/>
      <c r="M30" s="122"/>
      <c r="N30" s="122"/>
      <c r="O30" s="122"/>
      <c r="P30" s="122"/>
    </row>
    <row r="31" spans="1:17" ht="13.15" customHeight="1">
      <c r="A31" s="12" t="s">
        <v>20</v>
      </c>
      <c r="B31" s="431">
        <f>+ROUND(B29,3)</f>
        <v>1.5680000000000001</v>
      </c>
      <c r="C31" s="431">
        <f>+ROUND(C28,3)</f>
        <v>1.1830000000000001</v>
      </c>
      <c r="D31" s="431">
        <f>ROUND(D27,3)</f>
        <v>1.08</v>
      </c>
      <c r="E31" s="431">
        <f>ROUND(E26,3)</f>
        <v>1.0389999999999999</v>
      </c>
      <c r="F31" s="431">
        <f>ROUND(F25,3)</f>
        <v>1.0229999999999999</v>
      </c>
      <c r="G31" s="431">
        <f>ROUND(G24,3)</f>
        <v>1.0169999999999999</v>
      </c>
      <c r="H31" s="431">
        <f>ROUND(H23,3)</f>
        <v>1.014</v>
      </c>
      <c r="I31" s="431">
        <f>ROUND(I22,3)</f>
        <v>1.01</v>
      </c>
      <c r="J31" s="431">
        <f>AVERAGE(J16:J21)</f>
        <v>1.0090000000000001</v>
      </c>
      <c r="K31" s="431">
        <f>AVERAGE(K15:K20)</f>
        <v>1.0065</v>
      </c>
      <c r="L31" s="431">
        <f>AVERAGE(L14:L19)</f>
        <v>1.0068333333333335</v>
      </c>
      <c r="M31" s="431">
        <f>AVERAGE(M13:M18)</f>
        <v>1.0034999999999998</v>
      </c>
      <c r="N31" s="431">
        <f>AVERAGE(N12:N17)</f>
        <v>1.0026666666666666</v>
      </c>
      <c r="O31" s="431">
        <f>AVERAGE(O11:O16)</f>
        <v>1.0026666666666666</v>
      </c>
      <c r="P31" s="431">
        <f>AVERAGE(P10:P15)</f>
        <v>1.0024999999999999</v>
      </c>
      <c r="Q31" s="431">
        <f>AVERAGE(Q9:Q14)</f>
        <v>1.0014999999999998</v>
      </c>
    </row>
    <row r="32" spans="1:17" ht="13.15" customHeight="1">
      <c r="A32" s="12" t="s">
        <v>21</v>
      </c>
      <c r="B32" s="13">
        <f t="shared" ref="B32:O32" si="1">C32*B31</f>
        <v>2.326425337874833</v>
      </c>
      <c r="C32" s="13">
        <f t="shared" si="1"/>
        <v>1.4836896287467045</v>
      </c>
      <c r="D32" s="13">
        <f t="shared" si="1"/>
        <v>1.2541755103522438</v>
      </c>
      <c r="E32" s="13">
        <f t="shared" si="1"/>
        <v>1.161273620696522</v>
      </c>
      <c r="F32" s="13">
        <f t="shared" si="1"/>
        <v>1.1176839467723985</v>
      </c>
      <c r="G32" s="13">
        <f t="shared" si="1"/>
        <v>1.092555177685629</v>
      </c>
      <c r="H32" s="13">
        <f t="shared" si="1"/>
        <v>1.0742922101136962</v>
      </c>
      <c r="I32" s="13">
        <f t="shared" si="1"/>
        <v>1.0594597732876689</v>
      </c>
      <c r="J32" s="13">
        <f t="shared" si="1"/>
        <v>1.0489700725620485</v>
      </c>
      <c r="K32" s="13">
        <f t="shared" si="1"/>
        <v>1.0396135506065891</v>
      </c>
      <c r="L32" s="13">
        <f t="shared" si="1"/>
        <v>1.0328997025400786</v>
      </c>
      <c r="M32" s="13">
        <f t="shared" si="1"/>
        <v>1.0258894579110198</v>
      </c>
      <c r="N32" s="13">
        <f t="shared" si="1"/>
        <v>1.0223113681225908</v>
      </c>
      <c r="O32" s="13">
        <f t="shared" si="1"/>
        <v>1.0195924549094988</v>
      </c>
      <c r="P32" s="13">
        <f>Q32*P31</f>
        <v>1.0168807728485694</v>
      </c>
      <c r="Q32" s="13">
        <f>'Exhibit 2.1.2'!B28*'Exhibit 2.1.1'!Q31</f>
        <v>1.0143449105721392</v>
      </c>
    </row>
    <row r="33" spans="1:16" ht="13.15" customHeight="1">
      <c r="A33" s="122"/>
      <c r="B33" s="122"/>
      <c r="C33" s="122"/>
      <c r="D33" s="122"/>
      <c r="E33" s="122"/>
      <c r="F33" s="122"/>
      <c r="G33" s="122"/>
      <c r="H33" s="122"/>
      <c r="I33" s="122"/>
      <c r="J33" s="122"/>
      <c r="K33" s="122"/>
      <c r="L33" s="122"/>
      <c r="M33" s="122"/>
      <c r="N33" s="122"/>
      <c r="O33" s="122"/>
      <c r="P33" s="122"/>
    </row>
    <row r="34" spans="1:16" ht="13.15" customHeight="1">
      <c r="A34" s="9" t="s">
        <v>22</v>
      </c>
      <c r="B34" s="160" t="s">
        <v>552</v>
      </c>
      <c r="C34" s="156"/>
      <c r="D34" s="156"/>
      <c r="E34" s="156"/>
      <c r="F34" s="156"/>
      <c r="G34" s="156"/>
      <c r="H34" s="156"/>
      <c r="I34" s="156"/>
      <c r="J34" s="156"/>
      <c r="K34" s="156"/>
      <c r="L34" s="156"/>
      <c r="M34" s="156"/>
      <c r="N34" s="156"/>
      <c r="O34" s="156"/>
      <c r="P34" s="156"/>
    </row>
  </sheetData>
  <sheetProtection selectLockedCells="1" selectUnlockedCells="1"/>
  <printOptions horizontalCentered="1"/>
  <pageMargins left="0.7" right="0.7" top="0.75" bottom="0.75" header="0.3" footer="0.3"/>
  <pageSetup scale="88" orientation="landscape" blackAndWhite="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49"/>
  <sheetViews>
    <sheetView zoomScaleNormal="100" zoomScaleSheetLayoutView="85" workbookViewId="0"/>
  </sheetViews>
  <sheetFormatPr defaultColWidth="9.1328125" defaultRowHeight="12.75"/>
  <cols>
    <col min="1" max="1" width="9.1328125" style="184"/>
    <col min="2" max="2" width="15.265625" style="44" bestFit="1" customWidth="1"/>
    <col min="3" max="3" width="2.73046875" style="44" customWidth="1"/>
    <col min="4" max="4" width="15.265625" style="44" bestFit="1" customWidth="1"/>
    <col min="5" max="5" width="3.265625" style="44" customWidth="1"/>
    <col min="6" max="6" width="7.73046875" style="44" customWidth="1"/>
    <col min="7" max="7" width="13.73046875" style="44" customWidth="1"/>
    <col min="8" max="8" width="7.3984375" style="44" customWidth="1"/>
    <col min="9" max="9" width="13.73046875" style="44" customWidth="1"/>
    <col min="10" max="10" width="7.73046875" style="44" customWidth="1"/>
    <col min="11" max="11" width="6.265625" style="184" customWidth="1"/>
    <col min="12" max="12" width="14.86328125" style="184" bestFit="1" customWidth="1"/>
    <col min="13" max="16384" width="9.1328125" style="184"/>
  </cols>
  <sheetData>
    <row r="1" spans="1:12" ht="13.15">
      <c r="A1" s="242" t="s">
        <v>79</v>
      </c>
      <c r="B1" s="38"/>
      <c r="C1" s="38"/>
      <c r="D1" s="38"/>
      <c r="E1" s="38"/>
      <c r="F1" s="38"/>
      <c r="G1" s="38"/>
      <c r="H1" s="38"/>
      <c r="I1" s="38"/>
      <c r="J1" s="38"/>
      <c r="K1" s="25"/>
      <c r="L1" s="25"/>
    </row>
    <row r="2" spans="1:12" ht="22.15" customHeight="1">
      <c r="A2" s="44"/>
      <c r="K2" s="44"/>
      <c r="L2" s="44"/>
    </row>
    <row r="3" spans="1:12">
      <c r="A3" s="44"/>
      <c r="B3" s="40" t="s">
        <v>45</v>
      </c>
      <c r="C3" s="40"/>
      <c r="D3" s="40" t="s">
        <v>46</v>
      </c>
      <c r="E3" s="40"/>
      <c r="F3" s="40" t="s">
        <v>47</v>
      </c>
      <c r="H3" s="40" t="s">
        <v>48</v>
      </c>
      <c r="J3" s="40" t="s">
        <v>50</v>
      </c>
      <c r="K3" s="44"/>
      <c r="L3" s="40" t="s">
        <v>51</v>
      </c>
    </row>
    <row r="4" spans="1:12">
      <c r="A4" s="44"/>
      <c r="B4" s="39" t="s">
        <v>80</v>
      </c>
      <c r="C4" s="39"/>
      <c r="D4" s="39" t="s">
        <v>80</v>
      </c>
      <c r="E4" s="39"/>
      <c r="F4" s="39" t="s">
        <v>81</v>
      </c>
      <c r="G4" s="39"/>
      <c r="H4" s="39"/>
      <c r="J4" s="39" t="s">
        <v>81</v>
      </c>
      <c r="K4" s="44"/>
      <c r="L4" s="39" t="s">
        <v>63</v>
      </c>
    </row>
    <row r="5" spans="1:12">
      <c r="A5" s="44"/>
      <c r="B5" s="39" t="s">
        <v>5</v>
      </c>
      <c r="C5" s="39"/>
      <c r="D5" s="39" t="s">
        <v>84</v>
      </c>
      <c r="E5" s="39"/>
      <c r="F5" s="39" t="s">
        <v>85</v>
      </c>
      <c r="G5" s="39"/>
      <c r="H5" s="39" t="s">
        <v>86</v>
      </c>
      <c r="J5" s="39" t="s">
        <v>87</v>
      </c>
      <c r="K5" s="44"/>
      <c r="L5" s="39" t="s">
        <v>88</v>
      </c>
    </row>
    <row r="6" spans="1:12">
      <c r="A6" s="53" t="s">
        <v>54</v>
      </c>
      <c r="B6" s="39" t="s">
        <v>89</v>
      </c>
      <c r="C6" s="39"/>
      <c r="D6" s="39" t="s">
        <v>89</v>
      </c>
      <c r="E6" s="39"/>
      <c r="F6" s="39" t="s">
        <v>90</v>
      </c>
      <c r="G6" s="39"/>
      <c r="H6" s="39" t="s">
        <v>5</v>
      </c>
      <c r="J6" s="39" t="s">
        <v>91</v>
      </c>
      <c r="K6" s="44"/>
      <c r="L6" s="39" t="s">
        <v>92</v>
      </c>
    </row>
    <row r="7" spans="1:12" ht="14.85" customHeight="1">
      <c r="A7" s="41" t="s">
        <v>8</v>
      </c>
      <c r="B7" s="41" t="s">
        <v>93</v>
      </c>
      <c r="C7" s="41"/>
      <c r="D7" s="41" t="s">
        <v>93</v>
      </c>
      <c r="E7" s="39"/>
      <c r="F7" s="41" t="s">
        <v>94</v>
      </c>
      <c r="G7" s="39"/>
      <c r="H7" s="41" t="s">
        <v>95</v>
      </c>
      <c r="J7" s="41" t="s">
        <v>96</v>
      </c>
      <c r="K7" s="44"/>
      <c r="L7" s="41" t="s">
        <v>97</v>
      </c>
    </row>
    <row r="8" spans="1:12" ht="14.65" customHeight="1">
      <c r="A8" s="39">
        <f>+'Exhibit 4.1'!B9</f>
        <v>1987</v>
      </c>
      <c r="B8" s="296">
        <v>0.61</v>
      </c>
      <c r="C8" s="29"/>
      <c r="D8" s="29">
        <f t="shared" ref="D8:D40" si="0">1-B8</f>
        <v>0.39</v>
      </c>
      <c r="E8" s="39"/>
      <c r="F8" s="453">
        <v>8.9999999999999993E-3</v>
      </c>
      <c r="G8" s="439"/>
      <c r="H8" s="453">
        <v>7.3999999999999996E-2</v>
      </c>
      <c r="I8" s="439"/>
      <c r="J8" s="453">
        <v>2.8999999999999915E-2</v>
      </c>
      <c r="K8" s="39"/>
      <c r="L8" s="298">
        <f t="shared" ref="L8:L37" si="1">F8+J8</f>
        <v>3.7999999999999916E-2</v>
      </c>
    </row>
    <row r="9" spans="1:12" ht="14.65" customHeight="1">
      <c r="A9" s="39">
        <f>+'Exhibit 4.1'!B10</f>
        <v>1988</v>
      </c>
      <c r="B9" s="296">
        <v>0.64900000000000002</v>
      </c>
      <c r="C9" s="29"/>
      <c r="D9" s="29">
        <f t="shared" si="0"/>
        <v>0.35099999999999998</v>
      </c>
      <c r="E9" s="39"/>
      <c r="F9" s="453">
        <v>8.0000000000000002E-3</v>
      </c>
      <c r="G9" s="439"/>
      <c r="H9" s="453">
        <v>7.6999999999999999E-2</v>
      </c>
      <c r="I9" s="439"/>
      <c r="J9" s="455">
        <f t="shared" ref="J9:J43" si="2">ROUND(B8*1+D8*(H9+1)-1,3)</f>
        <v>0.03</v>
      </c>
      <c r="K9" s="39"/>
      <c r="L9" s="298">
        <f t="shared" si="1"/>
        <v>3.7999999999999999E-2</v>
      </c>
    </row>
    <row r="10" spans="1:12" ht="14.65" customHeight="1">
      <c r="A10" s="39">
        <f>+'Exhibit 4.1'!B11</f>
        <v>1989</v>
      </c>
      <c r="B10" s="296">
        <v>0.64700000000000002</v>
      </c>
      <c r="C10" s="29"/>
      <c r="D10" s="29">
        <f t="shared" si="0"/>
        <v>0.35299999999999998</v>
      </c>
      <c r="E10" s="39"/>
      <c r="F10" s="453">
        <v>0</v>
      </c>
      <c r="G10" s="439"/>
      <c r="H10" s="453">
        <v>8.5999999999999993E-2</v>
      </c>
      <c r="I10" s="439"/>
      <c r="J10" s="455">
        <f t="shared" si="2"/>
        <v>0.03</v>
      </c>
      <c r="K10" s="39"/>
      <c r="L10" s="298">
        <f t="shared" si="1"/>
        <v>0.03</v>
      </c>
    </row>
    <row r="11" spans="1:12" ht="14.65" customHeight="1">
      <c r="A11" s="39">
        <f>+'Exhibit 4.1'!B12</f>
        <v>1990</v>
      </c>
      <c r="B11" s="296">
        <v>0.66100000000000003</v>
      </c>
      <c r="C11" s="29"/>
      <c r="D11" s="29">
        <f t="shared" si="0"/>
        <v>0.33899999999999997</v>
      </c>
      <c r="E11" s="39"/>
      <c r="F11" s="453">
        <v>0</v>
      </c>
      <c r="G11" s="439"/>
      <c r="H11" s="453">
        <v>0.104</v>
      </c>
      <c r="I11" s="439"/>
      <c r="J11" s="455">
        <f t="shared" si="2"/>
        <v>3.6999999999999998E-2</v>
      </c>
      <c r="K11" s="39"/>
      <c r="L11" s="298">
        <f t="shared" si="1"/>
        <v>3.6999999999999998E-2</v>
      </c>
    </row>
    <row r="12" spans="1:12" ht="14.65" customHeight="1">
      <c r="A12" s="39">
        <f>+'Exhibit 4.1'!B13</f>
        <v>1991</v>
      </c>
      <c r="B12" s="296">
        <v>0.63100000000000001</v>
      </c>
      <c r="C12" s="29"/>
      <c r="D12" s="29">
        <f t="shared" si="0"/>
        <v>0.36899999999999999</v>
      </c>
      <c r="E12" s="39"/>
      <c r="F12" s="453">
        <v>0</v>
      </c>
      <c r="G12" s="439"/>
      <c r="H12" s="453">
        <v>0.106</v>
      </c>
      <c r="I12" s="439"/>
      <c r="J12" s="455">
        <f t="shared" si="2"/>
        <v>3.5999999999999997E-2</v>
      </c>
      <c r="K12" s="39"/>
      <c r="L12" s="298">
        <f t="shared" si="1"/>
        <v>3.5999999999999997E-2</v>
      </c>
    </row>
    <row r="13" spans="1:12" ht="14.65" customHeight="1">
      <c r="A13" s="39">
        <f>+'Exhibit 4.1'!B14</f>
        <v>1992</v>
      </c>
      <c r="B13" s="296">
        <v>0.628</v>
      </c>
      <c r="C13" s="29"/>
      <c r="D13" s="29">
        <f t="shared" si="0"/>
        <v>0.372</v>
      </c>
      <c r="E13" s="39"/>
      <c r="F13" s="453">
        <v>0</v>
      </c>
      <c r="G13" s="439"/>
      <c r="H13" s="453">
        <v>8.1000000000000003E-2</v>
      </c>
      <c r="I13" s="439"/>
      <c r="J13" s="455">
        <f t="shared" si="2"/>
        <v>0.03</v>
      </c>
      <c r="K13" s="39"/>
      <c r="L13" s="298">
        <f t="shared" si="1"/>
        <v>0.03</v>
      </c>
    </row>
    <row r="14" spans="1:12" ht="14.65" customHeight="1">
      <c r="A14" s="39">
        <f>+'Exhibit 4.1'!B15</f>
        <v>1993</v>
      </c>
      <c r="B14" s="296">
        <v>0.56499999999999995</v>
      </c>
      <c r="C14" s="29"/>
      <c r="D14" s="29">
        <f t="shared" si="0"/>
        <v>0.43500000000000005</v>
      </c>
      <c r="E14" s="39"/>
      <c r="F14" s="453">
        <v>0</v>
      </c>
      <c r="G14" s="439"/>
      <c r="H14" s="453">
        <v>7.2999999999999995E-2</v>
      </c>
      <c r="I14" s="439"/>
      <c r="J14" s="455">
        <f t="shared" si="2"/>
        <v>2.7E-2</v>
      </c>
      <c r="K14" s="39"/>
      <c r="L14" s="298">
        <f t="shared" si="1"/>
        <v>2.7E-2</v>
      </c>
    </row>
    <row r="15" spans="1:12" ht="14.65" customHeight="1">
      <c r="A15" s="39">
        <f>+'Exhibit 4.1'!B16</f>
        <v>1994</v>
      </c>
      <c r="B15" s="296">
        <v>0.69100000000000006</v>
      </c>
      <c r="C15" s="29"/>
      <c r="D15" s="29">
        <f t="shared" si="0"/>
        <v>0.30899999999999994</v>
      </c>
      <c r="E15" s="39"/>
      <c r="F15" s="453">
        <v>-3.5999999999999997E-2</v>
      </c>
      <c r="G15" s="439"/>
      <c r="H15" s="453">
        <v>4.2999999999999997E-2</v>
      </c>
      <c r="I15" s="439"/>
      <c r="J15" s="455">
        <f>ROUND((B14+0.138)*1+(D14-0.138)*(H15+1)-1,3)</f>
        <v>1.2999999999999999E-2</v>
      </c>
      <c r="K15" s="243" t="s">
        <v>98</v>
      </c>
      <c r="L15" s="298">
        <f t="shared" si="1"/>
        <v>-2.3E-2</v>
      </c>
    </row>
    <row r="16" spans="1:12" ht="14.65" customHeight="1">
      <c r="A16" s="39">
        <f>+'Exhibit 4.1'!B17</f>
        <v>1995</v>
      </c>
      <c r="B16" s="296">
        <v>0.6811594202898551</v>
      </c>
      <c r="C16" s="29"/>
      <c r="D16" s="29">
        <f t="shared" si="0"/>
        <v>0.3188405797101449</v>
      </c>
      <c r="E16" s="39"/>
      <c r="F16" s="453">
        <v>0</v>
      </c>
      <c r="G16" s="439"/>
      <c r="H16" s="453">
        <v>0.03</v>
      </c>
      <c r="I16" s="439"/>
      <c r="J16" s="455">
        <f t="shared" si="2"/>
        <v>8.9999999999999993E-3</v>
      </c>
      <c r="K16" s="39"/>
      <c r="L16" s="298">
        <f t="shared" si="1"/>
        <v>8.9999999999999993E-3</v>
      </c>
    </row>
    <row r="17" spans="1:12" ht="14.65" customHeight="1">
      <c r="A17" s="39">
        <f>+'Exhibit 4.1'!B18</f>
        <v>1996</v>
      </c>
      <c r="B17" s="296">
        <v>0.66277712952158685</v>
      </c>
      <c r="C17" s="29"/>
      <c r="D17" s="29">
        <f t="shared" si="0"/>
        <v>0.33722287047841315</v>
      </c>
      <c r="E17" s="39"/>
      <c r="F17" s="453">
        <v>0</v>
      </c>
      <c r="G17" s="439"/>
      <c r="H17" s="453">
        <v>0.03</v>
      </c>
      <c r="I17" s="439"/>
      <c r="J17" s="455">
        <f t="shared" si="2"/>
        <v>0.01</v>
      </c>
      <c r="K17" s="39"/>
      <c r="L17" s="298">
        <f t="shared" si="1"/>
        <v>0.01</v>
      </c>
    </row>
    <row r="18" spans="1:12" ht="14.65" customHeight="1">
      <c r="A18" s="39">
        <f>+'Exhibit 4.1'!B19</f>
        <v>1997</v>
      </c>
      <c r="B18" s="296">
        <v>0.64316702819956606</v>
      </c>
      <c r="C18" s="29"/>
      <c r="D18" s="29">
        <f t="shared" si="0"/>
        <v>0.35683297180043394</v>
      </c>
      <c r="E18" s="39"/>
      <c r="F18" s="453">
        <v>0</v>
      </c>
      <c r="G18" s="439"/>
      <c r="H18" s="453">
        <v>2.1999999999999999E-2</v>
      </c>
      <c r="I18" s="439"/>
      <c r="J18" s="455">
        <f t="shared" si="2"/>
        <v>7.0000000000000001E-3</v>
      </c>
      <c r="K18" s="39"/>
      <c r="L18" s="298">
        <f t="shared" si="1"/>
        <v>7.0000000000000001E-3</v>
      </c>
    </row>
    <row r="19" spans="1:12" ht="14.65" customHeight="1">
      <c r="A19" s="39">
        <f>+'Exhibit 4.1'!B20</f>
        <v>1998</v>
      </c>
      <c r="B19" s="296">
        <v>0.65840517241379293</v>
      </c>
      <c r="C19" s="29"/>
      <c r="D19" s="29">
        <f t="shared" si="0"/>
        <v>0.34159482758620707</v>
      </c>
      <c r="E19" s="39"/>
      <c r="F19" s="453">
        <v>0</v>
      </c>
      <c r="G19" s="439"/>
      <c r="H19" s="453">
        <v>2.1999999999999999E-2</v>
      </c>
      <c r="I19" s="439"/>
      <c r="J19" s="455">
        <f t="shared" si="2"/>
        <v>8.0000000000000002E-3</v>
      </c>
      <c r="K19" s="39"/>
      <c r="L19" s="298">
        <f t="shared" si="1"/>
        <v>8.0000000000000002E-3</v>
      </c>
    </row>
    <row r="20" spans="1:12" ht="14.65" customHeight="1">
      <c r="A20" s="39">
        <f>+'Exhibit 4.1'!B21</f>
        <v>1999</v>
      </c>
      <c r="B20" s="296">
        <v>0.7276922257720978</v>
      </c>
      <c r="C20" s="29"/>
      <c r="D20" s="29">
        <f t="shared" si="0"/>
        <v>0.2723077742279022</v>
      </c>
      <c r="E20" s="39"/>
      <c r="F20" s="453">
        <v>1.6E-2</v>
      </c>
      <c r="G20" s="439"/>
      <c r="H20" s="453">
        <v>3.3000000000000002E-2</v>
      </c>
      <c r="I20" s="439"/>
      <c r="J20" s="455">
        <f>ROUND((B19+0.077)*1+(D19-0.077)*(H20+1)-1,3)</f>
        <v>8.9999999999999993E-3</v>
      </c>
      <c r="K20" s="243" t="s">
        <v>99</v>
      </c>
      <c r="L20" s="298">
        <f t="shared" si="1"/>
        <v>2.5000000000000001E-2</v>
      </c>
    </row>
    <row r="21" spans="1:12" ht="14.65" customHeight="1">
      <c r="A21" s="39">
        <f>+'Exhibit 4.1'!B22</f>
        <v>2000</v>
      </c>
      <c r="B21" s="296">
        <v>0.71538812301166488</v>
      </c>
      <c r="C21" s="29"/>
      <c r="D21" s="29">
        <f t="shared" si="0"/>
        <v>0.28461187698833512</v>
      </c>
      <c r="E21" s="39"/>
      <c r="F21" s="453">
        <v>5.0000000000000001E-3</v>
      </c>
      <c r="G21" s="439"/>
      <c r="H21" s="453">
        <v>4.2999999999999997E-2</v>
      </c>
      <c r="I21" s="439"/>
      <c r="J21" s="455">
        <f t="shared" si="2"/>
        <v>1.2E-2</v>
      </c>
      <c r="K21" s="243"/>
      <c r="L21" s="298">
        <f t="shared" si="1"/>
        <v>1.7000000000000001E-2</v>
      </c>
    </row>
    <row r="22" spans="1:12" ht="14.65" customHeight="1">
      <c r="A22" s="39">
        <f>+'Exhibit 4.1'!B23</f>
        <v>2001</v>
      </c>
      <c r="B22" s="296">
        <v>0.7223189655172414</v>
      </c>
      <c r="C22" s="29"/>
      <c r="D22" s="29">
        <f t="shared" si="0"/>
        <v>0.2776810344827586</v>
      </c>
      <c r="E22" s="39"/>
      <c r="F22" s="453">
        <v>1.4999999999999999E-2</v>
      </c>
      <c r="G22" s="439"/>
      <c r="H22" s="453">
        <v>4.8000000000000001E-2</v>
      </c>
      <c r="I22" s="439"/>
      <c r="J22" s="455">
        <f t="shared" si="2"/>
        <v>1.4E-2</v>
      </c>
      <c r="K22" s="243"/>
      <c r="L22" s="298">
        <f t="shared" si="1"/>
        <v>2.8999999999999998E-2</v>
      </c>
    </row>
    <row r="23" spans="1:12" ht="14.65" customHeight="1">
      <c r="A23" s="39">
        <f>+'Exhibit 4.1'!B24</f>
        <v>2002</v>
      </c>
      <c r="B23" s="296">
        <v>0.63467338282078467</v>
      </c>
      <c r="C23" s="29"/>
      <c r="D23" s="29">
        <f t="shared" si="0"/>
        <v>0.36532661717921533</v>
      </c>
      <c r="E23" s="39"/>
      <c r="F23" s="453">
        <v>6.0000000000000001E-3</v>
      </c>
      <c r="G23" s="439"/>
      <c r="H23" s="453">
        <v>5.0999999999999997E-2</v>
      </c>
      <c r="I23" s="439"/>
      <c r="J23" s="455">
        <f t="shared" si="2"/>
        <v>1.4E-2</v>
      </c>
      <c r="K23" s="243"/>
      <c r="L23" s="298">
        <f t="shared" si="1"/>
        <v>0.02</v>
      </c>
    </row>
    <row r="24" spans="1:12" ht="14.65" customHeight="1">
      <c r="A24" s="39">
        <f>+'Exhibit 4.1'!B25</f>
        <v>2003</v>
      </c>
      <c r="B24" s="296">
        <v>0.78608515057113193</v>
      </c>
      <c r="C24" s="29"/>
      <c r="D24" s="29">
        <f t="shared" si="0"/>
        <v>0.21391484942886807</v>
      </c>
      <c r="E24" s="39"/>
      <c r="F24" s="453">
        <v>0</v>
      </c>
      <c r="G24" s="439"/>
      <c r="H24" s="453">
        <v>4.8000000000000001E-2</v>
      </c>
      <c r="I24" s="439"/>
      <c r="J24" s="455">
        <f>ROUND((B23+0.076)*1+(D23-0.076)*(H24+1)-1,3)</f>
        <v>1.4E-2</v>
      </c>
      <c r="K24" s="243" t="s">
        <v>100</v>
      </c>
      <c r="L24" s="298">
        <f t="shared" si="1"/>
        <v>1.4E-2</v>
      </c>
    </row>
    <row r="25" spans="1:12" ht="14.65" customHeight="1">
      <c r="A25" s="39">
        <f>+'Exhibit 4.1'!B26</f>
        <v>2004</v>
      </c>
      <c r="B25" s="296">
        <v>0.95247933884297509</v>
      </c>
      <c r="C25" s="29"/>
      <c r="D25" s="29">
        <f t="shared" si="0"/>
        <v>4.7520661157024913E-2</v>
      </c>
      <c r="E25" s="39"/>
      <c r="F25" s="453">
        <v>0</v>
      </c>
      <c r="G25" s="439"/>
      <c r="H25" s="453">
        <v>0.05</v>
      </c>
      <c r="I25" s="439"/>
      <c r="J25" s="455">
        <f>ROUND((B24+0.172)*1+(D24-0.172)*(0+1)-1,3)</f>
        <v>0</v>
      </c>
      <c r="K25" s="243" t="s">
        <v>101</v>
      </c>
      <c r="L25" s="298">
        <f t="shared" si="1"/>
        <v>0</v>
      </c>
    </row>
    <row r="26" spans="1:12" ht="14.65" customHeight="1">
      <c r="A26" s="39">
        <f>+'Exhibit 4.1'!B27</f>
        <v>2005</v>
      </c>
      <c r="B26" s="296">
        <v>0.9362186788154897</v>
      </c>
      <c r="C26" s="29"/>
      <c r="D26" s="29">
        <f t="shared" si="0"/>
        <v>6.3781321184510298E-2</v>
      </c>
      <c r="E26" s="39"/>
      <c r="F26" s="453">
        <v>0</v>
      </c>
      <c r="G26" s="439"/>
      <c r="H26" s="453">
        <v>4.8000000000000001E-2</v>
      </c>
      <c r="I26" s="439"/>
      <c r="J26" s="455">
        <f>ROUND(B25*1+D25*(0+1)-1,3)</f>
        <v>0</v>
      </c>
      <c r="K26" s="243" t="s">
        <v>102</v>
      </c>
      <c r="L26" s="298">
        <f t="shared" si="1"/>
        <v>0</v>
      </c>
    </row>
    <row r="27" spans="1:12" ht="14.65" customHeight="1">
      <c r="A27" s="39">
        <f>+'Exhibit 4.1'!B28</f>
        <v>2006</v>
      </c>
      <c r="B27" s="296">
        <v>0.92574850299401201</v>
      </c>
      <c r="C27" s="29"/>
      <c r="D27" s="29">
        <f t="shared" si="0"/>
        <v>7.4251497005987988E-2</v>
      </c>
      <c r="E27" s="39"/>
      <c r="F27" s="453">
        <v>0</v>
      </c>
      <c r="G27" s="439"/>
      <c r="H27" s="453">
        <v>4.1000000000000002E-2</v>
      </c>
      <c r="I27" s="439"/>
      <c r="J27" s="455">
        <f t="shared" si="2"/>
        <v>3.0000000000000001E-3</v>
      </c>
      <c r="K27" s="39"/>
      <c r="L27" s="298">
        <f t="shared" si="1"/>
        <v>3.0000000000000001E-3</v>
      </c>
    </row>
    <row r="28" spans="1:12" ht="14.65" customHeight="1">
      <c r="A28" s="39">
        <f>+'Exhibit 4.1'!B29</f>
        <v>2007</v>
      </c>
      <c r="B28" s="296">
        <v>0.9226260257913248</v>
      </c>
      <c r="C28" s="29"/>
      <c r="D28" s="29">
        <f t="shared" si="0"/>
        <v>7.73739742086752E-2</v>
      </c>
      <c r="E28" s="39"/>
      <c r="F28" s="453">
        <v>1.4E-2</v>
      </c>
      <c r="G28" s="439"/>
      <c r="H28" s="453">
        <v>5.2999999999999999E-2</v>
      </c>
      <c r="I28" s="439"/>
      <c r="J28" s="455">
        <f t="shared" si="2"/>
        <v>4.0000000000000001E-3</v>
      </c>
      <c r="K28" s="39"/>
      <c r="L28" s="298">
        <f t="shared" si="1"/>
        <v>1.8000000000000002E-2</v>
      </c>
    </row>
    <row r="29" spans="1:12" ht="14.65" customHeight="1">
      <c r="A29" s="39">
        <f>+'Exhibit 4.1'!B30</f>
        <v>2008</v>
      </c>
      <c r="B29" s="296">
        <v>0.8956109134045076</v>
      </c>
      <c r="C29" s="29"/>
      <c r="D29" s="29">
        <f t="shared" si="0"/>
        <v>0.1043890865954924</v>
      </c>
      <c r="E29" s="39"/>
      <c r="F29" s="453">
        <v>-1E-3</v>
      </c>
      <c r="G29" s="439"/>
      <c r="H29" s="453">
        <v>4.2000000000000003E-2</v>
      </c>
      <c r="I29" s="439"/>
      <c r="J29" s="455">
        <f t="shared" si="2"/>
        <v>3.0000000000000001E-3</v>
      </c>
      <c r="K29" s="39"/>
      <c r="L29" s="298">
        <f t="shared" si="1"/>
        <v>2E-3</v>
      </c>
    </row>
    <row r="30" spans="1:12" ht="14.65" customHeight="1">
      <c r="A30" s="39">
        <f>+'Exhibit 4.1'!B31</f>
        <v>2009</v>
      </c>
      <c r="B30" s="296">
        <v>0.89419354838709675</v>
      </c>
      <c r="C30" s="29"/>
      <c r="D30" s="29">
        <f t="shared" si="0"/>
        <v>0.10580645161290325</v>
      </c>
      <c r="E30" s="39"/>
      <c r="F30" s="453">
        <v>0</v>
      </c>
      <c r="G30" s="439"/>
      <c r="H30" s="453">
        <v>3.5999999999999997E-2</v>
      </c>
      <c r="I30" s="439"/>
      <c r="J30" s="455">
        <f t="shared" si="2"/>
        <v>4.0000000000000001E-3</v>
      </c>
      <c r="K30" s="39"/>
      <c r="L30" s="298">
        <f t="shared" si="1"/>
        <v>4.0000000000000001E-3</v>
      </c>
    </row>
    <row r="31" spans="1:12" ht="14.65" customHeight="1">
      <c r="A31" s="39">
        <f>+'Exhibit 4.1'!B32</f>
        <v>2010</v>
      </c>
      <c r="B31" s="296">
        <v>0.89487179487179502</v>
      </c>
      <c r="C31" s="29"/>
      <c r="D31" s="29">
        <f t="shared" si="0"/>
        <v>0.10512820512820498</v>
      </c>
      <c r="E31" s="39"/>
      <c r="F31" s="453">
        <v>0</v>
      </c>
      <c r="G31" s="439"/>
      <c r="H31" s="453">
        <v>2.8000000000000001E-2</v>
      </c>
      <c r="I31" s="439"/>
      <c r="J31" s="455">
        <f t="shared" si="2"/>
        <v>3.0000000000000001E-3</v>
      </c>
      <c r="K31" s="39"/>
      <c r="L31" s="298">
        <f t="shared" si="1"/>
        <v>3.0000000000000001E-3</v>
      </c>
    </row>
    <row r="32" spans="1:12" ht="14.65" customHeight="1">
      <c r="A32" s="39">
        <f>+'Exhibit 4.1'!B33</f>
        <v>2011</v>
      </c>
      <c r="B32" s="296">
        <v>0.96938775510204089</v>
      </c>
      <c r="C32" s="29"/>
      <c r="D32" s="29">
        <f t="shared" si="0"/>
        <v>3.0612244897959107E-2</v>
      </c>
      <c r="E32" s="39"/>
      <c r="F32" s="453">
        <v>0</v>
      </c>
      <c r="G32" s="439"/>
      <c r="H32" s="453">
        <v>3.2000000000000001E-2</v>
      </c>
      <c r="I32" s="439"/>
      <c r="J32" s="455">
        <f t="shared" si="2"/>
        <v>3.0000000000000001E-3</v>
      </c>
      <c r="K32" s="39"/>
      <c r="L32" s="298">
        <f t="shared" si="1"/>
        <v>3.0000000000000001E-3</v>
      </c>
    </row>
    <row r="33" spans="1:12" ht="14.65" customHeight="1">
      <c r="A33" s="39">
        <f>+'Exhibit 4.1'!B34</f>
        <v>2012</v>
      </c>
      <c r="B33" s="296">
        <v>0.96938775510204089</v>
      </c>
      <c r="C33" s="29"/>
      <c r="D33" s="29">
        <f t="shared" si="0"/>
        <v>3.0612244897959107E-2</v>
      </c>
      <c r="E33" s="39"/>
      <c r="F33" s="453">
        <v>0</v>
      </c>
      <c r="G33" s="439"/>
      <c r="H33" s="453">
        <v>2.7E-2</v>
      </c>
      <c r="I33" s="439"/>
      <c r="J33" s="455">
        <f t="shared" si="2"/>
        <v>1E-3</v>
      </c>
      <c r="K33" s="39"/>
      <c r="L33" s="298">
        <f t="shared" si="1"/>
        <v>1E-3</v>
      </c>
    </row>
    <row r="34" spans="1:12" ht="14.65" customHeight="1">
      <c r="A34" s="39">
        <f>+'Exhibit 4.1'!B35</f>
        <v>2013</v>
      </c>
      <c r="B34" s="296">
        <v>0.93799999999999994</v>
      </c>
      <c r="C34" s="29"/>
      <c r="D34" s="29">
        <f t="shared" si="0"/>
        <v>6.2000000000000055E-2</v>
      </c>
      <c r="E34" s="39"/>
      <c r="F34" s="453">
        <v>0</v>
      </c>
      <c r="G34" s="439"/>
      <c r="H34" s="453">
        <v>2.5999999999999999E-2</v>
      </c>
      <c r="I34" s="439"/>
      <c r="J34" s="455">
        <f t="shared" si="2"/>
        <v>1E-3</v>
      </c>
      <c r="K34" s="39"/>
      <c r="L34" s="298">
        <f t="shared" si="1"/>
        <v>1E-3</v>
      </c>
    </row>
    <row r="35" spans="1:12" ht="14.65" customHeight="1">
      <c r="A35" s="39">
        <f>+'Exhibit 4.1'!B36</f>
        <v>2014</v>
      </c>
      <c r="B35" s="296">
        <v>0.92800000000000005</v>
      </c>
      <c r="C35" s="29"/>
      <c r="D35" s="29">
        <f t="shared" si="0"/>
        <v>7.1999999999999953E-2</v>
      </c>
      <c r="E35" s="39"/>
      <c r="F35" s="453">
        <v>0</v>
      </c>
      <c r="G35" s="439"/>
      <c r="H35" s="453">
        <v>4.2000000000000003E-2</v>
      </c>
      <c r="I35" s="439"/>
      <c r="J35" s="455">
        <f t="shared" si="2"/>
        <v>3.0000000000000001E-3</v>
      </c>
      <c r="K35" s="39"/>
      <c r="L35" s="298">
        <f t="shared" si="1"/>
        <v>3.0000000000000001E-3</v>
      </c>
    </row>
    <row r="36" spans="1:12" ht="14.65" customHeight="1">
      <c r="A36" s="39">
        <f>+'Exhibit 4.1'!B37</f>
        <v>2015</v>
      </c>
      <c r="B36" s="296">
        <v>0.93300000000000005</v>
      </c>
      <c r="C36" s="29"/>
      <c r="D36" s="29">
        <f t="shared" si="0"/>
        <v>6.6999999999999948E-2</v>
      </c>
      <c r="E36" s="39"/>
      <c r="F36" s="453">
        <v>0</v>
      </c>
      <c r="G36" s="439"/>
      <c r="H36" s="453">
        <v>3.1E-2</v>
      </c>
      <c r="I36" s="439"/>
      <c r="J36" s="455">
        <f t="shared" si="2"/>
        <v>2E-3</v>
      </c>
      <c r="K36" s="298"/>
      <c r="L36" s="298">
        <f t="shared" si="1"/>
        <v>2E-3</v>
      </c>
    </row>
    <row r="37" spans="1:12" ht="14.65" customHeight="1">
      <c r="A37" s="39">
        <f>+'Exhibit 4.1'!B38</f>
        <v>2016</v>
      </c>
      <c r="B37" s="296">
        <v>0.91800000000000004</v>
      </c>
      <c r="C37" s="29"/>
      <c r="D37" s="29">
        <f t="shared" si="0"/>
        <v>8.1999999999999962E-2</v>
      </c>
      <c r="E37" s="39"/>
      <c r="F37" s="453">
        <v>0</v>
      </c>
      <c r="G37" s="439"/>
      <c r="H37" s="453">
        <v>5.3999999999999999E-2</v>
      </c>
      <c r="I37" s="439"/>
      <c r="J37" s="455">
        <f t="shared" si="2"/>
        <v>4.0000000000000001E-3</v>
      </c>
      <c r="K37" s="298"/>
      <c r="L37" s="298">
        <f t="shared" si="1"/>
        <v>4.0000000000000001E-3</v>
      </c>
    </row>
    <row r="38" spans="1:12" ht="14.65" customHeight="1">
      <c r="A38" s="39">
        <f>+'Exhibit 4.1'!B39</f>
        <v>2017</v>
      </c>
      <c r="B38" s="296">
        <v>0.90600000000000003</v>
      </c>
      <c r="C38" s="29"/>
      <c r="D38" s="29">
        <f t="shared" si="0"/>
        <v>9.3999999999999972E-2</v>
      </c>
      <c r="E38" s="39"/>
      <c r="F38" s="453">
        <v>0</v>
      </c>
      <c r="G38" s="439"/>
      <c r="H38" s="453">
        <v>2.1999999999999999E-2</v>
      </c>
      <c r="I38" s="439"/>
      <c r="J38" s="455">
        <f t="shared" si="2"/>
        <v>2E-3</v>
      </c>
      <c r="K38" s="39"/>
      <c r="L38" s="298">
        <f>F38+J38</f>
        <v>2E-3</v>
      </c>
    </row>
    <row r="39" spans="1:12" ht="14.65" customHeight="1">
      <c r="A39" s="39">
        <f>+'Exhibit 4.1'!B40</f>
        <v>2018</v>
      </c>
      <c r="B39" s="296">
        <v>0.88700000000000001</v>
      </c>
      <c r="C39" s="29"/>
      <c r="D39" s="29">
        <f t="shared" si="0"/>
        <v>0.11299999999999999</v>
      </c>
      <c r="E39" s="39"/>
      <c r="F39" s="453">
        <v>0</v>
      </c>
      <c r="G39" s="439"/>
      <c r="H39" s="453">
        <v>2.5000000000000001E-2</v>
      </c>
      <c r="I39" s="439"/>
      <c r="J39" s="455">
        <f t="shared" si="2"/>
        <v>2E-3</v>
      </c>
      <c r="K39" s="39"/>
      <c r="L39" s="298">
        <f>F39+J39</f>
        <v>2E-3</v>
      </c>
    </row>
    <row r="40" spans="1:12" s="255" customFormat="1" ht="14.65" customHeight="1">
      <c r="A40" s="39">
        <f>+'Exhibit 4.1'!B41</f>
        <v>2019</v>
      </c>
      <c r="B40" s="296">
        <v>0.87270000000000003</v>
      </c>
      <c r="C40" s="29"/>
      <c r="D40" s="29">
        <f t="shared" si="0"/>
        <v>0.12729999999999997</v>
      </c>
      <c r="E40" s="39"/>
      <c r="F40" s="453">
        <v>0</v>
      </c>
      <c r="G40" s="439"/>
      <c r="H40" s="453">
        <v>3.7999999999999999E-2</v>
      </c>
      <c r="I40" s="439"/>
      <c r="J40" s="455">
        <f t="shared" si="2"/>
        <v>4.0000000000000001E-3</v>
      </c>
      <c r="K40" s="39"/>
      <c r="L40" s="298">
        <f>F40+J40</f>
        <v>4.0000000000000001E-3</v>
      </c>
    </row>
    <row r="41" spans="1:12" ht="14.65" customHeight="1">
      <c r="A41" s="39">
        <f>+'Exhibit 4.1'!B42</f>
        <v>2020</v>
      </c>
      <c r="B41" s="296">
        <v>0.87270000000000003</v>
      </c>
      <c r="C41" s="29"/>
      <c r="D41" s="29">
        <f t="shared" ref="D41:D42" si="3">1-B41</f>
        <v>0.12729999999999997</v>
      </c>
      <c r="E41" s="39"/>
      <c r="F41" s="453">
        <v>0</v>
      </c>
      <c r="G41" s="439"/>
      <c r="H41" s="453">
        <v>3.6999999999999998E-2</v>
      </c>
      <c r="I41" s="439"/>
      <c r="J41" s="455">
        <f t="shared" si="2"/>
        <v>5.0000000000000001E-3</v>
      </c>
      <c r="K41" s="39"/>
      <c r="L41" s="298">
        <f t="shared" ref="L41:L42" si="4">F41+J41</f>
        <v>5.0000000000000001E-3</v>
      </c>
    </row>
    <row r="42" spans="1:12" s="331" customFormat="1" ht="14.65" customHeight="1">
      <c r="A42" s="39">
        <f>+'Exhibit 4.1'!B43</f>
        <v>2021</v>
      </c>
      <c r="B42" s="296">
        <v>0.87270000000000003</v>
      </c>
      <c r="C42" s="29"/>
      <c r="D42" s="29">
        <f t="shared" si="3"/>
        <v>0.12729999999999997</v>
      </c>
      <c r="E42" s="39"/>
      <c r="F42" s="453">
        <v>0</v>
      </c>
      <c r="G42" s="439"/>
      <c r="H42" s="453">
        <v>3.5000000000000003E-2</v>
      </c>
      <c r="I42" s="439"/>
      <c r="J42" s="455">
        <f t="shared" si="2"/>
        <v>4.0000000000000001E-3</v>
      </c>
      <c r="K42" s="39"/>
      <c r="L42" s="298">
        <f t="shared" si="4"/>
        <v>4.0000000000000001E-3</v>
      </c>
    </row>
    <row r="43" spans="1:12" s="268" customFormat="1" ht="14.65" customHeight="1">
      <c r="A43" s="58" t="str">
        <f>+'Exhibit 4.1'!B44</f>
        <v>11/1/2021</v>
      </c>
      <c r="B43" s="296">
        <v>0.87270000000000003</v>
      </c>
      <c r="C43" s="29"/>
      <c r="D43" s="29">
        <f t="shared" ref="D43" si="5">1-B43</f>
        <v>0.12729999999999997</v>
      </c>
      <c r="E43" s="39"/>
      <c r="F43" s="453">
        <v>0</v>
      </c>
      <c r="G43" s="454" t="s">
        <v>525</v>
      </c>
      <c r="H43" s="453">
        <v>1.2184273858861783E-2</v>
      </c>
      <c r="I43" s="454" t="s">
        <v>526</v>
      </c>
      <c r="J43" s="455">
        <f t="shared" si="2"/>
        <v>2E-3</v>
      </c>
      <c r="K43" s="39"/>
      <c r="L43" s="298">
        <f>F43+J43</f>
        <v>2E-3</v>
      </c>
    </row>
    <row r="44" spans="1:12" ht="25.9" customHeight="1">
      <c r="A44" s="58"/>
      <c r="B44" s="57"/>
      <c r="C44" s="57"/>
      <c r="D44" s="29"/>
      <c r="F44" s="299"/>
      <c r="J44" s="78"/>
      <c r="K44" s="44"/>
      <c r="L44" s="78"/>
    </row>
    <row r="45" spans="1:12" ht="39" customHeight="1">
      <c r="A45" s="59" t="s">
        <v>22</v>
      </c>
      <c r="B45" s="554" t="s">
        <v>343</v>
      </c>
      <c r="C45" s="554"/>
      <c r="D45" s="554"/>
      <c r="E45" s="554"/>
      <c r="F45" s="554"/>
      <c r="G45" s="554"/>
      <c r="H45" s="554"/>
      <c r="I45" s="554"/>
      <c r="J45" s="554"/>
      <c r="K45" s="554"/>
      <c r="L45" s="554"/>
    </row>
    <row r="46" spans="1:12" ht="12.75" customHeight="1">
      <c r="A46" s="59" t="s">
        <v>28</v>
      </c>
      <c r="B46" s="36" t="s">
        <v>348</v>
      </c>
      <c r="C46" s="36"/>
      <c r="D46" s="36"/>
      <c r="E46" s="36"/>
      <c r="F46" s="36"/>
      <c r="G46" s="36"/>
      <c r="H46" s="36"/>
      <c r="I46" s="36"/>
      <c r="J46" s="36"/>
      <c r="K46" s="36"/>
      <c r="L46" s="36"/>
    </row>
    <row r="47" spans="1:12" ht="12.75" customHeight="1">
      <c r="A47" s="59" t="s">
        <v>38</v>
      </c>
      <c r="B47" s="297" t="s">
        <v>103</v>
      </c>
      <c r="C47" s="297"/>
      <c r="D47" s="297"/>
      <c r="E47" s="297"/>
      <c r="F47" s="297"/>
      <c r="G47" s="297"/>
      <c r="H47" s="297"/>
      <c r="I47" s="297"/>
      <c r="J47" s="297"/>
      <c r="K47" s="36"/>
      <c r="L47" s="36"/>
    </row>
    <row r="48" spans="1:12" ht="89.1" customHeight="1">
      <c r="A48" s="60" t="s">
        <v>57</v>
      </c>
      <c r="B48" s="552" t="s">
        <v>104</v>
      </c>
      <c r="C48" s="552"/>
      <c r="D48" s="552"/>
      <c r="E48" s="552"/>
      <c r="F48" s="552"/>
      <c r="G48" s="552"/>
      <c r="H48" s="552"/>
      <c r="I48" s="552"/>
      <c r="J48" s="552"/>
      <c r="K48" s="552"/>
      <c r="L48" s="552"/>
    </row>
    <row r="49" spans="1:12" ht="12.75" customHeight="1">
      <c r="A49" s="60" t="s">
        <v>41</v>
      </c>
      <c r="B49" s="553" t="s">
        <v>105</v>
      </c>
      <c r="C49" s="553"/>
      <c r="D49" s="553"/>
      <c r="E49" s="553"/>
      <c r="F49" s="553"/>
      <c r="G49" s="553"/>
      <c r="H49" s="553"/>
      <c r="I49" s="553"/>
      <c r="J49" s="553"/>
      <c r="K49" s="553"/>
      <c r="L49" s="553"/>
    </row>
  </sheetData>
  <mergeCells count="3">
    <mergeCell ref="B48:L48"/>
    <mergeCell ref="B49:L49"/>
    <mergeCell ref="B45:L45"/>
  </mergeCells>
  <pageMargins left="0.5" right="0.5" top="0.75" bottom="0.75" header="0.33" footer="0.33"/>
  <pageSetup scale="81" fitToHeight="0" orientation="portrait" blackAndWhite="1" r:id="rId1"/>
  <headerFooter scaleWithDoc="0">
    <oddHeader>&amp;R&amp;"Arial,Regular"&amp;10Exhibit 4.2</oddHeader>
  </headerFooter>
  <ignoredErrors>
    <ignoredError sqref="B3:L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7"/>
  <sheetViews>
    <sheetView zoomScaleNormal="100" zoomScaleSheetLayoutView="100" workbookViewId="0">
      <selection sqref="A1:H1"/>
    </sheetView>
  </sheetViews>
  <sheetFormatPr defaultColWidth="9.1328125" defaultRowHeight="12.75"/>
  <cols>
    <col min="1" max="1" width="8.1328125" style="184" customWidth="1"/>
    <col min="2" max="2" width="11.59765625" style="184" customWidth="1"/>
    <col min="3" max="3" width="9.1328125" style="44" customWidth="1"/>
    <col min="4" max="4" width="20.265625" style="44" customWidth="1"/>
    <col min="5" max="5" width="6.73046875" style="44" customWidth="1"/>
    <col min="6" max="6" width="18.3984375" style="184" customWidth="1"/>
    <col min="7" max="7" width="7.73046875" style="44" customWidth="1"/>
    <col min="8" max="8" width="7.1328125" style="184" customWidth="1"/>
    <col min="9" max="16384" width="9.1328125" style="184"/>
  </cols>
  <sheetData>
    <row r="1" spans="1:8" ht="13.15">
      <c r="A1" s="544" t="s">
        <v>106</v>
      </c>
      <c r="B1" s="544"/>
      <c r="C1" s="544"/>
      <c r="D1" s="544"/>
      <c r="E1" s="544"/>
      <c r="F1" s="544"/>
      <c r="G1" s="544"/>
      <c r="H1" s="544"/>
    </row>
    <row r="2" spans="1:8">
      <c r="A2" s="39"/>
      <c r="B2" s="39"/>
      <c r="C2" s="40"/>
      <c r="D2" s="40"/>
      <c r="E2" s="40"/>
      <c r="F2" s="39"/>
      <c r="H2" s="39"/>
    </row>
    <row r="3" spans="1:8">
      <c r="A3" s="39"/>
      <c r="B3" s="39"/>
      <c r="C3" s="40" t="s">
        <v>45</v>
      </c>
      <c r="D3" s="40"/>
      <c r="E3" s="40" t="s">
        <v>46</v>
      </c>
      <c r="F3" s="39"/>
      <c r="G3" s="285" t="s">
        <v>47</v>
      </c>
      <c r="H3" s="39"/>
    </row>
    <row r="4" spans="1:8">
      <c r="A4" s="39"/>
      <c r="B4" s="39"/>
      <c r="C4" s="39" t="s">
        <v>107</v>
      </c>
      <c r="D4" s="39"/>
      <c r="E4" s="39" t="s">
        <v>108</v>
      </c>
      <c r="F4" s="39"/>
      <c r="G4" s="39" t="s">
        <v>109</v>
      </c>
      <c r="H4" s="39"/>
    </row>
    <row r="5" spans="1:8">
      <c r="A5" s="39" t="s">
        <v>54</v>
      </c>
      <c r="B5" s="39"/>
      <c r="C5" s="39" t="s">
        <v>110</v>
      </c>
      <c r="D5" s="39"/>
      <c r="E5" s="39" t="s">
        <v>111</v>
      </c>
      <c r="F5" s="39"/>
      <c r="G5" s="39" t="s">
        <v>112</v>
      </c>
      <c r="H5" s="39"/>
    </row>
    <row r="6" spans="1:8">
      <c r="A6" s="41" t="s">
        <v>8</v>
      </c>
      <c r="B6" s="41"/>
      <c r="C6" s="41" t="s">
        <v>378</v>
      </c>
      <c r="D6" s="41"/>
      <c r="E6" s="41" t="s">
        <v>379</v>
      </c>
      <c r="F6" s="41"/>
      <c r="G6" s="41" t="s">
        <v>380</v>
      </c>
      <c r="H6" s="41"/>
    </row>
    <row r="7" spans="1:8">
      <c r="A7" s="39"/>
      <c r="B7" s="44"/>
      <c r="F7" s="44"/>
      <c r="H7" s="44"/>
    </row>
    <row r="8" spans="1:8">
      <c r="A8" s="39">
        <f>+'Exhibit 4.1'!B9</f>
        <v>1987</v>
      </c>
      <c r="B8" s="44"/>
      <c r="C8" s="288">
        <v>0</v>
      </c>
      <c r="D8" s="456"/>
      <c r="E8" s="288">
        <v>0</v>
      </c>
      <c r="F8" s="44"/>
      <c r="G8" s="78">
        <f t="shared" ref="G8:G39" si="0">(C8+1)*(1+E8)-1</f>
        <v>0</v>
      </c>
      <c r="H8" s="44"/>
    </row>
    <row r="9" spans="1:8">
      <c r="A9" s="39">
        <f>+'Exhibit 4.1'!B10</f>
        <v>1988</v>
      </c>
      <c r="B9" s="44"/>
      <c r="C9" s="288">
        <v>0</v>
      </c>
      <c r="D9" s="456"/>
      <c r="E9" s="288">
        <v>0</v>
      </c>
      <c r="F9" s="44"/>
      <c r="G9" s="78">
        <f t="shared" si="0"/>
        <v>0</v>
      </c>
      <c r="H9" s="44"/>
    </row>
    <row r="10" spans="1:8">
      <c r="A10" s="39">
        <f>+'Exhibit 4.1'!B11</f>
        <v>1989</v>
      </c>
      <c r="B10" s="44"/>
      <c r="C10" s="288">
        <v>0</v>
      </c>
      <c r="D10" s="456"/>
      <c r="E10" s="288">
        <v>0</v>
      </c>
      <c r="F10" s="44"/>
      <c r="G10" s="78">
        <f t="shared" si="0"/>
        <v>0</v>
      </c>
      <c r="H10" s="44"/>
    </row>
    <row r="11" spans="1:8">
      <c r="A11" s="39">
        <f>+'Exhibit 4.1'!B12</f>
        <v>1990</v>
      </c>
      <c r="B11" s="44"/>
      <c r="C11" s="288">
        <v>-7.0000000000000001E-3</v>
      </c>
      <c r="D11" s="456"/>
      <c r="E11" s="288">
        <v>0.19900000000000001</v>
      </c>
      <c r="F11" s="44"/>
      <c r="G11" s="78">
        <f t="shared" si="0"/>
        <v>0.19060699999999997</v>
      </c>
      <c r="H11" s="44"/>
    </row>
    <row r="12" spans="1:8">
      <c r="A12" s="39">
        <f>+'Exhibit 4.1'!B13</f>
        <v>1991</v>
      </c>
      <c r="B12" s="44"/>
      <c r="C12" s="288">
        <v>-1.6E-2</v>
      </c>
      <c r="D12" s="456"/>
      <c r="E12" s="288">
        <v>0.14699999999999999</v>
      </c>
      <c r="F12" s="44"/>
      <c r="G12" s="78">
        <f t="shared" si="0"/>
        <v>0.1286480000000001</v>
      </c>
      <c r="H12" s="44"/>
    </row>
    <row r="13" spans="1:8">
      <c r="A13" s="39">
        <f>+'Exhibit 4.1'!B14</f>
        <v>1992</v>
      </c>
      <c r="B13" s="44"/>
      <c r="C13" s="288">
        <v>5.0000000000000001E-3</v>
      </c>
      <c r="D13" s="456"/>
      <c r="E13" s="288">
        <v>-8.4000000000000005E-2</v>
      </c>
      <c r="F13" s="44"/>
      <c r="G13" s="78">
        <f t="shared" si="0"/>
        <v>-7.9420000000000046E-2</v>
      </c>
      <c r="H13" s="44"/>
    </row>
    <row r="14" spans="1:8">
      <c r="A14" s="39">
        <f>+'Exhibit 4.1'!B15</f>
        <v>1993</v>
      </c>
      <c r="B14" s="44"/>
      <c r="C14" s="288">
        <v>-7.0000000000000001E-3</v>
      </c>
      <c r="D14" s="456"/>
      <c r="E14" s="288">
        <v>-0.18099999999999999</v>
      </c>
      <c r="F14" s="44"/>
      <c r="G14" s="78">
        <f t="shared" si="0"/>
        <v>-0.18673300000000004</v>
      </c>
      <c r="H14" s="44"/>
    </row>
    <row r="15" spans="1:8">
      <c r="A15" s="39">
        <f>+'Exhibit 4.1'!B16</f>
        <v>1994</v>
      </c>
      <c r="B15" s="44"/>
      <c r="C15" s="288">
        <v>-2.5999999999999999E-2</v>
      </c>
      <c r="D15" s="456"/>
      <c r="E15" s="288">
        <v>3.0000000000000001E-3</v>
      </c>
      <c r="F15" s="44"/>
      <c r="G15" s="78">
        <f t="shared" si="0"/>
        <v>-2.3078000000000154E-2</v>
      </c>
      <c r="H15" s="44"/>
    </row>
    <row r="16" spans="1:8">
      <c r="A16" s="39">
        <f>+'Exhibit 4.1'!B17</f>
        <v>1995</v>
      </c>
      <c r="B16" s="44"/>
      <c r="C16" s="288">
        <v>0</v>
      </c>
      <c r="D16" s="456"/>
      <c r="E16" s="288">
        <v>5.0000000000000001E-3</v>
      </c>
      <c r="F16" s="44"/>
      <c r="G16" s="78">
        <f t="shared" si="0"/>
        <v>4.9999999999998934E-3</v>
      </c>
      <c r="H16" s="44"/>
    </row>
    <row r="17" spans="1:8">
      <c r="A17" s="39">
        <f>+'Exhibit 4.1'!B18</f>
        <v>1996</v>
      </c>
      <c r="B17" s="44"/>
      <c r="C17" s="288">
        <v>0</v>
      </c>
      <c r="D17" s="456"/>
      <c r="E17" s="288">
        <v>4.0000000000000001E-3</v>
      </c>
      <c r="F17" s="44"/>
      <c r="G17" s="78">
        <f t="shared" si="0"/>
        <v>4.0000000000000036E-3</v>
      </c>
      <c r="H17" s="44"/>
    </row>
    <row r="18" spans="1:8">
      <c r="A18" s="39">
        <f>+'Exhibit 4.1'!B19</f>
        <v>1997</v>
      </c>
      <c r="B18" s="44"/>
      <c r="C18" s="288">
        <v>0</v>
      </c>
      <c r="D18" s="456"/>
      <c r="E18" s="288">
        <v>2E-3</v>
      </c>
      <c r="F18" s="44"/>
      <c r="G18" s="78">
        <f t="shared" si="0"/>
        <v>2.0000000000000018E-3</v>
      </c>
      <c r="H18" s="44"/>
    </row>
    <row r="19" spans="1:8">
      <c r="A19" s="39">
        <f>+'Exhibit 4.1'!B20</f>
        <v>1998</v>
      </c>
      <c r="B19" s="44"/>
      <c r="C19" s="288">
        <v>0.126</v>
      </c>
      <c r="D19" s="456"/>
      <c r="E19" s="288">
        <v>0</v>
      </c>
      <c r="F19" s="44"/>
      <c r="G19" s="78">
        <f t="shared" si="0"/>
        <v>0.12599999999999989</v>
      </c>
      <c r="H19" s="44"/>
    </row>
    <row r="20" spans="1:8">
      <c r="A20" s="39">
        <f>+'Exhibit 4.1'!B21</f>
        <v>1999</v>
      </c>
      <c r="B20" s="44"/>
      <c r="C20" s="288">
        <v>0.126</v>
      </c>
      <c r="D20" s="456"/>
      <c r="E20" s="288">
        <v>0</v>
      </c>
      <c r="F20" s="44"/>
      <c r="G20" s="78">
        <f t="shared" si="0"/>
        <v>0.12599999999999989</v>
      </c>
      <c r="H20" s="44"/>
    </row>
    <row r="21" spans="1:8">
      <c r="A21" s="39">
        <f>+'Exhibit 4.1'!B22</f>
        <v>2000</v>
      </c>
      <c r="B21" s="44"/>
      <c r="C21" s="288">
        <v>7.0000000000000007E-2</v>
      </c>
      <c r="D21" s="456"/>
      <c r="E21" s="288">
        <v>0</v>
      </c>
      <c r="F21" s="44"/>
      <c r="G21" s="78">
        <f t="shared" si="0"/>
        <v>7.0000000000000062E-2</v>
      </c>
      <c r="H21" s="44"/>
    </row>
    <row r="22" spans="1:8">
      <c r="A22" s="39">
        <f>+'Exhibit 4.1'!B23</f>
        <v>2001</v>
      </c>
      <c r="B22" s="44"/>
      <c r="C22" s="288">
        <v>6.6000000000000003E-2</v>
      </c>
      <c r="D22" s="456"/>
      <c r="E22" s="288">
        <v>0</v>
      </c>
      <c r="F22" s="44"/>
      <c r="G22" s="78">
        <f t="shared" si="0"/>
        <v>6.6000000000000059E-2</v>
      </c>
      <c r="H22" s="44"/>
    </row>
    <row r="23" spans="1:8">
      <c r="A23" s="39">
        <f>+'Exhibit 4.1'!B24</f>
        <v>2002</v>
      </c>
      <c r="B23" s="44"/>
      <c r="C23" s="288">
        <v>-5.6000000000000001E-2</v>
      </c>
      <c r="D23" s="456"/>
      <c r="E23" s="288">
        <v>0</v>
      </c>
      <c r="F23" s="44"/>
      <c r="G23" s="78">
        <f t="shared" si="0"/>
        <v>-5.600000000000005E-2</v>
      </c>
      <c r="H23" s="44"/>
    </row>
    <row r="24" spans="1:8">
      <c r="A24" s="39">
        <f>+'Exhibit 4.1'!B25</f>
        <v>2003</v>
      </c>
      <c r="B24" s="44"/>
      <c r="C24" s="288">
        <v>-0.06</v>
      </c>
      <c r="D24" s="456"/>
      <c r="E24" s="288">
        <v>0</v>
      </c>
      <c r="F24" s="44"/>
      <c r="G24" s="78">
        <f t="shared" si="0"/>
        <v>-6.0000000000000053E-2</v>
      </c>
      <c r="H24" s="44"/>
    </row>
    <row r="25" spans="1:8">
      <c r="A25" s="39">
        <f>+'Exhibit 4.1'!B26</f>
        <v>2004</v>
      </c>
      <c r="B25" s="44"/>
      <c r="C25" s="288">
        <v>-0.24399999999999999</v>
      </c>
      <c r="D25" s="456"/>
      <c r="E25" s="288">
        <v>-0.125</v>
      </c>
      <c r="F25" s="44"/>
      <c r="G25" s="78">
        <f t="shared" si="0"/>
        <v>-0.33850000000000002</v>
      </c>
      <c r="H25" s="44"/>
    </row>
    <row r="26" spans="1:8">
      <c r="A26" s="39">
        <f>+'Exhibit 4.1'!B27</f>
        <v>2005</v>
      </c>
      <c r="B26" s="44"/>
      <c r="C26" s="288">
        <v>0</v>
      </c>
      <c r="D26" s="456"/>
      <c r="E26" s="288">
        <v>-0.13900000000000001</v>
      </c>
      <c r="F26" s="44"/>
      <c r="G26" s="78">
        <f t="shared" si="0"/>
        <v>-0.13900000000000001</v>
      </c>
      <c r="H26" s="44"/>
    </row>
    <row r="27" spans="1:8">
      <c r="A27" s="39">
        <f>+'Exhibit 4.1'!B28</f>
        <v>2006</v>
      </c>
      <c r="B27" s="44"/>
      <c r="C27" s="288">
        <v>1E-3</v>
      </c>
      <c r="D27" s="456"/>
      <c r="E27" s="288">
        <v>-5.1999999999999998E-2</v>
      </c>
      <c r="F27" s="44"/>
      <c r="G27" s="78">
        <f t="shared" si="0"/>
        <v>-5.1052000000000097E-2</v>
      </c>
      <c r="H27" s="44"/>
    </row>
    <row r="28" spans="1:8">
      <c r="A28" s="39">
        <f>+'Exhibit 4.1'!B29</f>
        <v>2007</v>
      </c>
      <c r="B28" s="44"/>
      <c r="C28" s="288">
        <v>1E-3</v>
      </c>
      <c r="D28" s="456"/>
      <c r="E28" s="288">
        <v>0</v>
      </c>
      <c r="F28" s="44"/>
      <c r="G28" s="78">
        <f t="shared" si="0"/>
        <v>9.9999999999988987E-4</v>
      </c>
      <c r="H28" s="44"/>
    </row>
    <row r="29" spans="1:8">
      <c r="A29" s="39">
        <f>+'Exhibit 4.1'!B30</f>
        <v>2008</v>
      </c>
      <c r="B29" s="44"/>
      <c r="C29" s="288">
        <v>2E-3</v>
      </c>
      <c r="D29" s="456"/>
      <c r="E29" s="288">
        <v>3.0000000000000001E-3</v>
      </c>
      <c r="F29" s="44"/>
      <c r="G29" s="78">
        <f t="shared" si="0"/>
        <v>5.0059999999998439E-3</v>
      </c>
      <c r="H29" s="44"/>
    </row>
    <row r="30" spans="1:8">
      <c r="A30" s="39">
        <f>+'Exhibit 4.1'!B31</f>
        <v>2009</v>
      </c>
      <c r="B30" s="44"/>
      <c r="C30" s="288">
        <v>0</v>
      </c>
      <c r="D30" s="456"/>
      <c r="E30" s="288">
        <v>0.01</v>
      </c>
      <c r="F30" s="44"/>
      <c r="G30" s="78">
        <f t="shared" si="0"/>
        <v>1.0000000000000009E-2</v>
      </c>
      <c r="H30" s="44"/>
    </row>
    <row r="31" spans="1:8">
      <c r="A31" s="39">
        <f>+'Exhibit 4.1'!B32</f>
        <v>2010</v>
      </c>
      <c r="B31" s="44"/>
      <c r="C31" s="288">
        <v>0</v>
      </c>
      <c r="D31" s="456"/>
      <c r="E31" s="288">
        <v>0</v>
      </c>
      <c r="F31" s="44"/>
      <c r="G31" s="78">
        <f t="shared" si="0"/>
        <v>0</v>
      </c>
      <c r="H31" s="44"/>
    </row>
    <row r="32" spans="1:8">
      <c r="A32" s="39">
        <f>+'Exhibit 4.1'!B33</f>
        <v>2011</v>
      </c>
      <c r="B32" s="44"/>
      <c r="C32" s="288">
        <v>-0.02</v>
      </c>
      <c r="D32" s="456"/>
      <c r="E32" s="288">
        <v>0</v>
      </c>
      <c r="F32" s="44"/>
      <c r="G32" s="78">
        <f t="shared" si="0"/>
        <v>-2.0000000000000018E-2</v>
      </c>
      <c r="H32" s="44"/>
    </row>
    <row r="33" spans="1:8">
      <c r="A33" s="39">
        <f>+'Exhibit 4.1'!B34</f>
        <v>2012</v>
      </c>
      <c r="B33" s="44"/>
      <c r="C33" s="288">
        <v>-4.3999999999999997E-2</v>
      </c>
      <c r="D33" s="456"/>
      <c r="E33" s="288">
        <v>0</v>
      </c>
      <c r="F33" s="44"/>
      <c r="G33" s="78">
        <f t="shared" si="0"/>
        <v>-4.4000000000000039E-2</v>
      </c>
      <c r="H33" s="44"/>
    </row>
    <row r="34" spans="1:8">
      <c r="A34" s="39">
        <f>+'Exhibit 4.1'!B35</f>
        <v>2013</v>
      </c>
      <c r="B34" s="44"/>
      <c r="C34" s="288">
        <v>-8.2000000000000003E-2</v>
      </c>
      <c r="D34" s="456"/>
      <c r="E34" s="288">
        <v>2E-3</v>
      </c>
      <c r="F34" s="44"/>
      <c r="G34" s="78">
        <f t="shared" si="0"/>
        <v>-8.0164000000000013E-2</v>
      </c>
      <c r="H34" s="44"/>
    </row>
    <row r="35" spans="1:8">
      <c r="A35" s="39">
        <f>+'Exhibit 4.1'!B36</f>
        <v>2014</v>
      </c>
      <c r="B35" s="44"/>
      <c r="C35" s="288">
        <v>-5.8999999999999997E-2</v>
      </c>
      <c r="D35" s="456"/>
      <c r="E35" s="288">
        <v>1.2999999999999999E-2</v>
      </c>
      <c r="F35" s="39"/>
      <c r="G35" s="78">
        <f t="shared" si="0"/>
        <v>-4.6767000000000003E-2</v>
      </c>
      <c r="H35" s="44"/>
    </row>
    <row r="36" spans="1:8">
      <c r="A36" s="39">
        <f>+'Exhibit 4.1'!B37</f>
        <v>2015</v>
      </c>
      <c r="B36" s="44"/>
      <c r="C36" s="288">
        <v>-0.02</v>
      </c>
      <c r="D36" s="456"/>
      <c r="E36" s="288">
        <v>0</v>
      </c>
      <c r="F36" s="39"/>
      <c r="G36" s="78">
        <f t="shared" si="0"/>
        <v>-2.0000000000000018E-2</v>
      </c>
      <c r="H36" s="44"/>
    </row>
    <row r="37" spans="1:8">
      <c r="A37" s="39">
        <f>+'Exhibit 4.1'!B38</f>
        <v>2016</v>
      </c>
      <c r="B37" s="44"/>
      <c r="C37" s="288">
        <v>-5.0000000000000001E-3</v>
      </c>
      <c r="D37" s="456"/>
      <c r="E37" s="288">
        <v>0</v>
      </c>
      <c r="F37" s="39"/>
      <c r="G37" s="78">
        <f t="shared" si="0"/>
        <v>-5.0000000000000044E-3</v>
      </c>
      <c r="H37" s="44"/>
    </row>
    <row r="38" spans="1:8">
      <c r="A38" s="39">
        <f>+'Exhibit 4.1'!B39</f>
        <v>2017</v>
      </c>
      <c r="B38" s="44"/>
      <c r="C38" s="288">
        <v>-4.0000000000000001E-3</v>
      </c>
      <c r="D38" s="456"/>
      <c r="E38" s="288">
        <v>0</v>
      </c>
      <c r="F38" s="39"/>
      <c r="G38" s="78">
        <f t="shared" si="0"/>
        <v>-4.0000000000000036E-3</v>
      </c>
      <c r="H38" s="44"/>
    </row>
    <row r="39" spans="1:8">
      <c r="A39" s="39">
        <f>+'Exhibit 4.1'!B40</f>
        <v>2018</v>
      </c>
      <c r="B39" s="44"/>
      <c r="C39" s="288">
        <v>-3.0000000000000001E-3</v>
      </c>
      <c r="D39" s="456"/>
      <c r="E39" s="288">
        <v>0</v>
      </c>
      <c r="F39" s="44"/>
      <c r="G39" s="78">
        <f t="shared" si="0"/>
        <v>-3.0000000000000027E-3</v>
      </c>
      <c r="H39" s="44"/>
    </row>
    <row r="40" spans="1:8" s="255" customFormat="1">
      <c r="A40" s="39">
        <f>+'Exhibit 4.1'!B41</f>
        <v>2019</v>
      </c>
      <c r="B40" s="44"/>
      <c r="C40" s="288">
        <v>0</v>
      </c>
      <c r="D40" s="456"/>
      <c r="E40" s="288">
        <v>0</v>
      </c>
      <c r="F40" s="44"/>
      <c r="G40" s="78">
        <f t="shared" ref="G40:G42" si="1">(C40+1)*(1+E40)-1</f>
        <v>0</v>
      </c>
      <c r="H40" s="44"/>
    </row>
    <row r="41" spans="1:8">
      <c r="A41" s="39">
        <f>+'Exhibit 4.1'!B42</f>
        <v>2020</v>
      </c>
      <c r="B41" s="44"/>
      <c r="C41" s="288">
        <v>0</v>
      </c>
      <c r="D41" s="456"/>
      <c r="E41" s="288">
        <v>0</v>
      </c>
      <c r="F41" s="44"/>
      <c r="G41" s="78">
        <f t="shared" si="1"/>
        <v>0</v>
      </c>
      <c r="H41" s="44"/>
    </row>
    <row r="42" spans="1:8" s="331" customFormat="1">
      <c r="A42" s="39">
        <f>+'Exhibit 4.1'!B43</f>
        <v>2021</v>
      </c>
      <c r="B42" s="44"/>
      <c r="C42" s="288">
        <v>0</v>
      </c>
      <c r="D42" s="456"/>
      <c r="E42" s="288">
        <v>0</v>
      </c>
      <c r="F42" s="44"/>
      <c r="G42" s="78">
        <f t="shared" si="1"/>
        <v>0</v>
      </c>
      <c r="H42" s="44"/>
    </row>
    <row r="43" spans="1:8" s="268" customFormat="1">
      <c r="A43" s="58" t="str">
        <f>+'Exhibit 4.1'!B44</f>
        <v>11/1/2021</v>
      </c>
      <c r="B43" s="44"/>
      <c r="C43" s="288">
        <v>0</v>
      </c>
      <c r="D43" s="456"/>
      <c r="E43" s="288">
        <v>0</v>
      </c>
      <c r="F43" s="44"/>
      <c r="G43" s="78">
        <f t="shared" ref="G43" si="2">(C43+1)*(1+E43)-1</f>
        <v>0</v>
      </c>
      <c r="H43" s="44"/>
    </row>
    <row r="44" spans="1:8">
      <c r="A44" s="44"/>
      <c r="B44" s="44"/>
      <c r="C44" s="78"/>
      <c r="E44" s="78"/>
      <c r="F44" s="44"/>
      <c r="H44" s="44"/>
    </row>
    <row r="45" spans="1:8" ht="54.6" customHeight="1">
      <c r="A45" s="31" t="s">
        <v>22</v>
      </c>
      <c r="B45" s="552" t="s">
        <v>359</v>
      </c>
      <c r="C45" s="552"/>
      <c r="D45" s="552"/>
      <c r="E45" s="552"/>
      <c r="F45" s="552"/>
      <c r="G45" s="552"/>
      <c r="H45" s="552"/>
    </row>
    <row r="46" spans="1:8" ht="27" customHeight="1">
      <c r="A46" s="31" t="s">
        <v>28</v>
      </c>
      <c r="B46" s="534" t="s">
        <v>113</v>
      </c>
      <c r="C46" s="534"/>
      <c r="D46" s="534"/>
      <c r="E46" s="534"/>
      <c r="F46" s="534"/>
      <c r="G46" s="534"/>
      <c r="H46" s="534"/>
    </row>
    <row r="47" spans="1:8" ht="12.75" customHeight="1">
      <c r="A47" s="31" t="s">
        <v>38</v>
      </c>
      <c r="B47" s="36" t="s">
        <v>114</v>
      </c>
      <c r="C47" s="36"/>
      <c r="D47" s="36"/>
      <c r="E47" s="36"/>
      <c r="F47" s="36"/>
      <c r="G47" s="36"/>
      <c r="H47" s="36"/>
    </row>
  </sheetData>
  <mergeCells count="3">
    <mergeCell ref="B46:H46"/>
    <mergeCell ref="A1:H1"/>
    <mergeCell ref="B45:H45"/>
  </mergeCells>
  <printOptions horizontalCentered="1"/>
  <pageMargins left="0.5" right="0.5" top="0.75" bottom="0.75" header="0.33" footer="0.33"/>
  <pageSetup orientation="portrait" blackAndWhite="1" horizontalDpi="1200" verticalDpi="1200" r:id="rId1"/>
  <headerFooter scaleWithDoc="0">
    <oddHeader>&amp;R&amp;"Arial,Regular"&amp;10Exhibit 4.3</oddHeader>
  </headerFooter>
  <ignoredErrors>
    <ignoredError sqref="C3:G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49"/>
  <sheetViews>
    <sheetView zoomScaleNormal="100" zoomScaleSheetLayoutView="85" workbookViewId="0"/>
  </sheetViews>
  <sheetFormatPr defaultColWidth="9.1328125" defaultRowHeight="12.75"/>
  <cols>
    <col min="1" max="1" width="9.265625" style="184" bestFit="1" customWidth="1"/>
    <col min="2" max="2" width="7.265625" style="184" customWidth="1"/>
    <col min="3" max="3" width="13.73046875" style="184" customWidth="1"/>
    <col min="4" max="4" width="7.265625" style="184" customWidth="1"/>
    <col min="5" max="5" width="13.73046875" style="184" customWidth="1"/>
    <col min="6" max="6" width="7.265625" style="184" customWidth="1"/>
    <col min="7" max="7" width="13.73046875" style="184" customWidth="1"/>
    <col min="8" max="8" width="7.265625" style="184" customWidth="1"/>
    <col min="9" max="9" width="9.86328125" style="44" customWidth="1"/>
    <col min="10" max="16384" width="9.1328125" style="184"/>
  </cols>
  <sheetData>
    <row r="1" spans="1:9" ht="13.15">
      <c r="A1" s="242" t="s">
        <v>115</v>
      </c>
      <c r="B1" s="242"/>
      <c r="C1" s="242"/>
      <c r="D1" s="242"/>
      <c r="E1" s="242"/>
      <c r="F1" s="242"/>
      <c r="G1" s="242"/>
      <c r="H1" s="242"/>
      <c r="I1" s="242"/>
    </row>
    <row r="2" spans="1:9">
      <c r="A2" s="39"/>
      <c r="B2" s="39"/>
      <c r="C2" s="40"/>
      <c r="D2" s="40"/>
      <c r="E2" s="40"/>
      <c r="F2" s="285"/>
      <c r="G2" s="285"/>
      <c r="H2" s="285"/>
      <c r="I2" s="285"/>
    </row>
    <row r="3" spans="1:9">
      <c r="A3" s="39"/>
      <c r="B3" s="39"/>
      <c r="C3" s="40" t="s">
        <v>45</v>
      </c>
      <c r="D3" s="40"/>
      <c r="E3" s="40" t="s">
        <v>46</v>
      </c>
      <c r="F3" s="39"/>
      <c r="G3" s="40" t="s">
        <v>47</v>
      </c>
      <c r="H3" s="285"/>
      <c r="I3" s="285" t="s">
        <v>48</v>
      </c>
    </row>
    <row r="4" spans="1:9">
      <c r="A4" s="39"/>
      <c r="B4" s="44"/>
      <c r="C4" s="115" t="s">
        <v>63</v>
      </c>
      <c r="D4" s="39"/>
      <c r="E4" s="115" t="s">
        <v>63</v>
      </c>
      <c r="F4" s="39"/>
      <c r="G4" s="39" t="s">
        <v>116</v>
      </c>
      <c r="H4" s="39"/>
      <c r="I4" s="29" t="s">
        <v>64</v>
      </c>
    </row>
    <row r="5" spans="1:9">
      <c r="A5" s="39"/>
      <c r="B5" s="44"/>
      <c r="C5" s="115" t="s">
        <v>88</v>
      </c>
      <c r="D5" s="39"/>
      <c r="E5" s="115" t="s">
        <v>117</v>
      </c>
      <c r="F5" s="39"/>
      <c r="G5" s="39" t="s">
        <v>118</v>
      </c>
      <c r="H5" s="39"/>
      <c r="I5" s="39" t="s">
        <v>5</v>
      </c>
    </row>
    <row r="6" spans="1:9">
      <c r="A6" s="39" t="s">
        <v>54</v>
      </c>
      <c r="B6" s="44"/>
      <c r="C6" s="115" t="s">
        <v>92</v>
      </c>
      <c r="D6" s="39"/>
      <c r="E6" s="115" t="s">
        <v>92</v>
      </c>
      <c r="F6" s="39"/>
      <c r="G6" s="39" t="s">
        <v>70</v>
      </c>
      <c r="H6" s="39"/>
      <c r="I6" s="39" t="s">
        <v>119</v>
      </c>
    </row>
    <row r="7" spans="1:9">
      <c r="A7" s="41" t="s">
        <v>8</v>
      </c>
      <c r="B7" s="44"/>
      <c r="C7" s="289" t="s">
        <v>120</v>
      </c>
      <c r="D7" s="39"/>
      <c r="E7" s="289" t="s">
        <v>376</v>
      </c>
      <c r="F7" s="39"/>
      <c r="G7" s="41" t="s">
        <v>377</v>
      </c>
      <c r="H7" s="39"/>
      <c r="I7" s="41" t="s">
        <v>75</v>
      </c>
    </row>
    <row r="8" spans="1:9">
      <c r="A8" s="39"/>
      <c r="B8" s="44"/>
      <c r="C8" s="44"/>
      <c r="D8" s="44"/>
      <c r="E8" s="44"/>
      <c r="F8" s="44"/>
      <c r="G8" s="44"/>
      <c r="H8" s="44"/>
    </row>
    <row r="9" spans="1:9">
      <c r="A9" s="39">
        <f>+'Exhibit 4.1'!B9</f>
        <v>1987</v>
      </c>
      <c r="B9" s="44"/>
      <c r="C9" s="290">
        <f>SUMIFS('Exhibit 4.2'!L:L,'Exhibit 4.2'!A:A,$A9)</f>
        <v>3.7999999999999916E-2</v>
      </c>
      <c r="D9" s="290"/>
      <c r="E9" s="290">
        <f>SUMIFS('Exhibit 4.3'!G:G,'Exhibit 4.3'!A:A,$A9)</f>
        <v>0</v>
      </c>
      <c r="F9" s="291"/>
      <c r="G9" s="290">
        <f t="shared" ref="G9:G44" si="0">(C9+1)*(1+E9)-1</f>
        <v>3.7999999999999812E-2</v>
      </c>
      <c r="H9" s="44"/>
      <c r="I9" s="30">
        <f t="shared" ref="I9:I39" si="1">I10*(1+G10)</f>
        <v>0.80797628590409243</v>
      </c>
    </row>
    <row r="10" spans="1:9">
      <c r="A10" s="39">
        <f>+'Exhibit 4.1'!B10</f>
        <v>1988</v>
      </c>
      <c r="B10" s="44"/>
      <c r="C10" s="290">
        <f>SUMIFS('Exhibit 4.2'!L:L,'Exhibit 4.2'!A:A,$A10)</f>
        <v>3.7999999999999999E-2</v>
      </c>
      <c r="D10" s="290"/>
      <c r="E10" s="290">
        <f>SUMIFS('Exhibit 4.3'!G:G,'Exhibit 4.3'!A:A,$A10)</f>
        <v>0</v>
      </c>
      <c r="F10" s="291"/>
      <c r="G10" s="290">
        <f t="shared" si="0"/>
        <v>3.8000000000000034E-2</v>
      </c>
      <c r="H10" s="44"/>
      <c r="I10" s="30">
        <f t="shared" si="1"/>
        <v>0.77839719258583084</v>
      </c>
    </row>
    <row r="11" spans="1:9">
      <c r="A11" s="39">
        <f>+'Exhibit 4.1'!B11</f>
        <v>1989</v>
      </c>
      <c r="B11" s="44"/>
      <c r="C11" s="290">
        <f>SUMIFS('Exhibit 4.2'!L:L,'Exhibit 4.2'!A:A,$A11)</f>
        <v>0.03</v>
      </c>
      <c r="D11" s="290"/>
      <c r="E11" s="290">
        <f>SUMIFS('Exhibit 4.3'!G:G,'Exhibit 4.3'!A:A,$A11)</f>
        <v>0</v>
      </c>
      <c r="F11" s="291"/>
      <c r="G11" s="290">
        <f t="shared" si="0"/>
        <v>3.0000000000000027E-2</v>
      </c>
      <c r="H11" s="44"/>
      <c r="I11" s="30">
        <f t="shared" si="1"/>
        <v>0.75572542969498135</v>
      </c>
    </row>
    <row r="12" spans="1:9">
      <c r="A12" s="39">
        <f>+'Exhibit 4.1'!B12</f>
        <v>1990</v>
      </c>
      <c r="B12" s="44"/>
      <c r="C12" s="290">
        <f>SUMIFS('Exhibit 4.2'!L:L,'Exhibit 4.2'!A:A,$A12)</f>
        <v>3.6999999999999998E-2</v>
      </c>
      <c r="D12" s="290"/>
      <c r="E12" s="290">
        <f>SUMIFS('Exhibit 4.3'!G:G,'Exhibit 4.3'!A:A,$A12)</f>
        <v>0.19060699999999997</v>
      </c>
      <c r="F12" s="291"/>
      <c r="G12" s="290">
        <f t="shared" si="0"/>
        <v>0.23465945899999996</v>
      </c>
      <c r="H12" s="44"/>
      <c r="I12" s="30">
        <f t="shared" si="1"/>
        <v>0.61209220419942645</v>
      </c>
    </row>
    <row r="13" spans="1:9">
      <c r="A13" s="39">
        <f>+'Exhibit 4.1'!B13</f>
        <v>1991</v>
      </c>
      <c r="B13" s="44"/>
      <c r="C13" s="290">
        <f>SUMIFS('Exhibit 4.2'!L:L,'Exhibit 4.2'!A:A,$A13)</f>
        <v>3.5999999999999997E-2</v>
      </c>
      <c r="D13" s="290"/>
      <c r="E13" s="290">
        <f>SUMIFS('Exhibit 4.3'!G:G,'Exhibit 4.3'!A:A,$A13)</f>
        <v>0.1286480000000001</v>
      </c>
      <c r="F13" s="291"/>
      <c r="G13" s="290">
        <f t="shared" si="0"/>
        <v>0.16927932800000023</v>
      </c>
      <c r="H13" s="44"/>
      <c r="I13" s="30">
        <f t="shared" si="1"/>
        <v>0.52347817116238826</v>
      </c>
    </row>
    <row r="14" spans="1:9">
      <c r="A14" s="39">
        <f>+'Exhibit 4.1'!B14</f>
        <v>1992</v>
      </c>
      <c r="B14" s="44"/>
      <c r="C14" s="290">
        <f>SUMIFS('Exhibit 4.2'!L:L,'Exhibit 4.2'!A:A,$A14)</f>
        <v>0.03</v>
      </c>
      <c r="D14" s="290"/>
      <c r="E14" s="290">
        <f>SUMIFS('Exhibit 4.3'!G:G,'Exhibit 4.3'!A:A,$A14)</f>
        <v>-7.9420000000000046E-2</v>
      </c>
      <c r="F14" s="291"/>
      <c r="G14" s="290">
        <f t="shared" si="0"/>
        <v>-5.1802600000000032E-2</v>
      </c>
      <c r="H14" s="44"/>
      <c r="I14" s="30">
        <f t="shared" si="1"/>
        <v>0.55207720582485065</v>
      </c>
    </row>
    <row r="15" spans="1:9">
      <c r="A15" s="39">
        <f>+'Exhibit 4.1'!B15</f>
        <v>1993</v>
      </c>
      <c r="B15" s="44"/>
      <c r="C15" s="290">
        <f>SUMIFS('Exhibit 4.2'!L:L,'Exhibit 4.2'!A:A,$A15)</f>
        <v>2.7E-2</v>
      </c>
      <c r="D15" s="290"/>
      <c r="E15" s="290">
        <f>SUMIFS('Exhibit 4.3'!G:G,'Exhibit 4.3'!A:A,$A15)</f>
        <v>-0.18673300000000004</v>
      </c>
      <c r="F15" s="291"/>
      <c r="G15" s="290">
        <f t="shared" si="0"/>
        <v>-0.16477479100000014</v>
      </c>
      <c r="H15" s="44"/>
      <c r="I15" s="30">
        <f t="shared" si="1"/>
        <v>0.66099202930649426</v>
      </c>
    </row>
    <row r="16" spans="1:9">
      <c r="A16" s="39">
        <f>+'Exhibit 4.1'!B16</f>
        <v>1994</v>
      </c>
      <c r="B16" s="44"/>
      <c r="C16" s="290">
        <f>SUMIFS('Exhibit 4.2'!L:L,'Exhibit 4.2'!A:A,$A16)</f>
        <v>-2.3E-2</v>
      </c>
      <c r="D16" s="290"/>
      <c r="E16" s="290">
        <f>SUMIFS('Exhibit 4.3'!G:G,'Exhibit 4.3'!A:A,$A16)</f>
        <v>-2.3078000000000154E-2</v>
      </c>
      <c r="F16" s="291"/>
      <c r="G16" s="290">
        <f t="shared" si="0"/>
        <v>-4.5547206000000173E-2</v>
      </c>
      <c r="H16" s="44"/>
      <c r="I16" s="30">
        <f t="shared" si="1"/>
        <v>0.69253506664939823</v>
      </c>
    </row>
    <row r="17" spans="1:9">
      <c r="A17" s="39">
        <f>+'Exhibit 4.1'!B17</f>
        <v>1995</v>
      </c>
      <c r="B17" s="44"/>
      <c r="C17" s="290">
        <f>SUMIFS('Exhibit 4.2'!L:L,'Exhibit 4.2'!A:A,$A17)</f>
        <v>8.9999999999999993E-3</v>
      </c>
      <c r="D17" s="290"/>
      <c r="E17" s="290">
        <f>SUMIFS('Exhibit 4.3'!G:G,'Exhibit 4.3'!A:A,$A17)</f>
        <v>4.9999999999998934E-3</v>
      </c>
      <c r="F17" s="291"/>
      <c r="G17" s="290">
        <f t="shared" si="0"/>
        <v>1.4044999999999863E-2</v>
      </c>
      <c r="H17" s="44"/>
      <c r="I17" s="30">
        <f t="shared" si="1"/>
        <v>0.68294313038316679</v>
      </c>
    </row>
    <row r="18" spans="1:9">
      <c r="A18" s="39">
        <f>+'Exhibit 4.1'!B18</f>
        <v>1996</v>
      </c>
      <c r="B18" s="44"/>
      <c r="C18" s="290">
        <f>SUMIFS('Exhibit 4.2'!L:L,'Exhibit 4.2'!A:A,$A18)</f>
        <v>0.01</v>
      </c>
      <c r="D18" s="290"/>
      <c r="E18" s="290">
        <f>SUMIFS('Exhibit 4.3'!G:G,'Exhibit 4.3'!A:A,$A18)</f>
        <v>4.0000000000000036E-3</v>
      </c>
      <c r="F18" s="291"/>
      <c r="G18" s="290">
        <f t="shared" si="0"/>
        <v>1.4040000000000052E-2</v>
      </c>
      <c r="H18" s="44"/>
      <c r="I18" s="30">
        <f t="shared" si="1"/>
        <v>0.67348736774009577</v>
      </c>
    </row>
    <row r="19" spans="1:9">
      <c r="A19" s="39">
        <f>+'Exhibit 4.1'!B19</f>
        <v>1997</v>
      </c>
      <c r="B19" s="44"/>
      <c r="C19" s="290">
        <f>SUMIFS('Exhibit 4.2'!L:L,'Exhibit 4.2'!A:A,$A19)</f>
        <v>7.0000000000000001E-3</v>
      </c>
      <c r="D19" s="290"/>
      <c r="E19" s="290">
        <f>SUMIFS('Exhibit 4.3'!G:G,'Exhibit 4.3'!A:A,$A19)</f>
        <v>2.0000000000000018E-3</v>
      </c>
      <c r="F19" s="291"/>
      <c r="G19" s="290">
        <f t="shared" si="0"/>
        <v>9.0139999999998555E-3</v>
      </c>
      <c r="H19" s="44"/>
      <c r="I19" s="30">
        <f t="shared" si="1"/>
        <v>0.66747078607442101</v>
      </c>
    </row>
    <row r="20" spans="1:9">
      <c r="A20" s="39">
        <f>+'Exhibit 4.1'!B20</f>
        <v>1998</v>
      </c>
      <c r="B20" s="44"/>
      <c r="C20" s="290">
        <f>SUMIFS('Exhibit 4.2'!L:L,'Exhibit 4.2'!A:A,$A20)</f>
        <v>8.0000000000000002E-3</v>
      </c>
      <c r="D20" s="290"/>
      <c r="E20" s="290">
        <f>SUMIFS('Exhibit 4.3'!G:G,'Exhibit 4.3'!A:A,$A20)</f>
        <v>0.12599999999999989</v>
      </c>
      <c r="F20" s="291"/>
      <c r="G20" s="290">
        <f t="shared" si="0"/>
        <v>0.13500799999999979</v>
      </c>
      <c r="H20" s="44"/>
      <c r="I20" s="30">
        <f t="shared" si="1"/>
        <v>0.58807584270280133</v>
      </c>
    </row>
    <row r="21" spans="1:9">
      <c r="A21" s="39">
        <f>+'Exhibit 4.1'!B21</f>
        <v>1999</v>
      </c>
      <c r="B21" s="44"/>
      <c r="C21" s="290">
        <f>SUMIFS('Exhibit 4.2'!L:L,'Exhibit 4.2'!A:A,$A21)</f>
        <v>2.5000000000000001E-2</v>
      </c>
      <c r="D21" s="290"/>
      <c r="E21" s="290">
        <f>SUMIFS('Exhibit 4.3'!G:G,'Exhibit 4.3'!A:A,$A21)</f>
        <v>0.12599999999999989</v>
      </c>
      <c r="F21" s="291"/>
      <c r="G21" s="290">
        <f t="shared" si="0"/>
        <v>0.15414999999999979</v>
      </c>
      <c r="H21" s="44"/>
      <c r="I21" s="30">
        <f t="shared" si="1"/>
        <v>0.50953155369995362</v>
      </c>
    </row>
    <row r="22" spans="1:9">
      <c r="A22" s="39">
        <f>+'Exhibit 4.1'!B22</f>
        <v>2000</v>
      </c>
      <c r="B22" s="44"/>
      <c r="C22" s="290">
        <f>SUMIFS('Exhibit 4.2'!L:L,'Exhibit 4.2'!A:A,$A22)</f>
        <v>1.7000000000000001E-2</v>
      </c>
      <c r="D22" s="290"/>
      <c r="E22" s="290">
        <f>SUMIFS('Exhibit 4.3'!G:G,'Exhibit 4.3'!A:A,$A22)</f>
        <v>7.0000000000000062E-2</v>
      </c>
      <c r="F22" s="291"/>
      <c r="G22" s="290">
        <f t="shared" si="0"/>
        <v>8.8189999999999991E-2</v>
      </c>
      <c r="H22" s="44"/>
      <c r="I22" s="30">
        <f t="shared" si="1"/>
        <v>0.46823767329230526</v>
      </c>
    </row>
    <row r="23" spans="1:9">
      <c r="A23" s="39">
        <f>+'Exhibit 4.1'!B23</f>
        <v>2001</v>
      </c>
      <c r="B23" s="44"/>
      <c r="C23" s="290">
        <f>SUMIFS('Exhibit 4.2'!L:L,'Exhibit 4.2'!A:A,$A23)</f>
        <v>2.8999999999999998E-2</v>
      </c>
      <c r="D23" s="290"/>
      <c r="E23" s="290">
        <f>SUMIFS('Exhibit 4.3'!G:G,'Exhibit 4.3'!A:A,$A23)</f>
        <v>6.6000000000000059E-2</v>
      </c>
      <c r="F23" s="291"/>
      <c r="G23" s="290">
        <f t="shared" si="0"/>
        <v>9.6913999999999945E-2</v>
      </c>
      <c r="H23" s="44"/>
      <c r="I23" s="30">
        <f t="shared" si="1"/>
        <v>0.42686817133549693</v>
      </c>
    </row>
    <row r="24" spans="1:9">
      <c r="A24" s="39">
        <f>+'Exhibit 4.1'!B24</f>
        <v>2002</v>
      </c>
      <c r="B24" s="44"/>
      <c r="C24" s="290">
        <f>SUMIFS('Exhibit 4.2'!L:L,'Exhibit 4.2'!A:A,$A24)</f>
        <v>0.02</v>
      </c>
      <c r="D24" s="290"/>
      <c r="E24" s="290">
        <f>SUMIFS('Exhibit 4.3'!G:G,'Exhibit 4.3'!A:A,$A24)</f>
        <v>-5.600000000000005E-2</v>
      </c>
      <c r="F24" s="291"/>
      <c r="G24" s="290">
        <f t="shared" si="0"/>
        <v>-3.7120000000000042E-2</v>
      </c>
      <c r="H24" s="44"/>
      <c r="I24" s="30">
        <f t="shared" si="1"/>
        <v>0.44332437202506747</v>
      </c>
    </row>
    <row r="25" spans="1:9">
      <c r="A25" s="39">
        <f>+'Exhibit 4.1'!B25</f>
        <v>2003</v>
      </c>
      <c r="B25" s="44"/>
      <c r="C25" s="290">
        <f>SUMIFS('Exhibit 4.2'!L:L,'Exhibit 4.2'!A:A,$A25)</f>
        <v>1.4E-2</v>
      </c>
      <c r="D25" s="290"/>
      <c r="E25" s="290">
        <f>SUMIFS('Exhibit 4.3'!G:G,'Exhibit 4.3'!A:A,$A25)</f>
        <v>-6.0000000000000053E-2</v>
      </c>
      <c r="F25" s="291"/>
      <c r="G25" s="290">
        <f t="shared" si="0"/>
        <v>-4.6839999999999993E-2</v>
      </c>
      <c r="H25" s="44"/>
      <c r="I25" s="30">
        <f t="shared" si="1"/>
        <v>0.46511013053953948</v>
      </c>
    </row>
    <row r="26" spans="1:9">
      <c r="A26" s="39">
        <f>+'Exhibit 4.1'!B26</f>
        <v>2004</v>
      </c>
      <c r="B26" s="44"/>
      <c r="C26" s="290">
        <f>SUMIFS('Exhibit 4.2'!L:L,'Exhibit 4.2'!A:A,$A26)</f>
        <v>0</v>
      </c>
      <c r="D26" s="290"/>
      <c r="E26" s="290">
        <f>SUMIFS('Exhibit 4.3'!G:G,'Exhibit 4.3'!A:A,$A26)</f>
        <v>-0.33850000000000002</v>
      </c>
      <c r="F26" s="291"/>
      <c r="G26" s="290">
        <f t="shared" si="0"/>
        <v>-0.33850000000000002</v>
      </c>
      <c r="H26" s="44"/>
      <c r="I26" s="30">
        <f t="shared" si="1"/>
        <v>0.70311433188139005</v>
      </c>
    </row>
    <row r="27" spans="1:9">
      <c r="A27" s="39">
        <f>+'Exhibit 4.1'!B27</f>
        <v>2005</v>
      </c>
      <c r="B27" s="44"/>
      <c r="C27" s="290">
        <f>SUMIFS('Exhibit 4.2'!L:L,'Exhibit 4.2'!A:A,$A27)</f>
        <v>0</v>
      </c>
      <c r="D27" s="290"/>
      <c r="E27" s="290">
        <f>SUMIFS('Exhibit 4.3'!G:G,'Exhibit 4.3'!A:A,$A27)</f>
        <v>-0.13900000000000001</v>
      </c>
      <c r="F27" s="291"/>
      <c r="G27" s="290">
        <f t="shared" si="0"/>
        <v>-0.13900000000000001</v>
      </c>
      <c r="H27" s="44"/>
      <c r="I27" s="30">
        <f t="shared" si="1"/>
        <v>0.8166252402803601</v>
      </c>
    </row>
    <row r="28" spans="1:9">
      <c r="A28" s="39">
        <f>+'Exhibit 4.1'!B28</f>
        <v>2006</v>
      </c>
      <c r="B28" s="44"/>
      <c r="C28" s="290">
        <f>SUMIFS('Exhibit 4.2'!L:L,'Exhibit 4.2'!A:A,$A28)</f>
        <v>3.0000000000000001E-3</v>
      </c>
      <c r="D28" s="290"/>
      <c r="E28" s="290">
        <f>SUMIFS('Exhibit 4.3'!G:G,'Exhibit 4.3'!A:A,$A28)</f>
        <v>-5.1052000000000097E-2</v>
      </c>
      <c r="F28" s="291"/>
      <c r="G28" s="290">
        <f t="shared" si="0"/>
        <v>-4.8205156000000193E-2</v>
      </c>
      <c r="H28" s="44"/>
      <c r="I28" s="30">
        <f t="shared" si="1"/>
        <v>0.85798451780682294</v>
      </c>
    </row>
    <row r="29" spans="1:9">
      <c r="A29" s="39">
        <f>+'Exhibit 4.1'!B29</f>
        <v>2007</v>
      </c>
      <c r="B29" s="44"/>
      <c r="C29" s="290">
        <f>SUMIFS('Exhibit 4.2'!L:L,'Exhibit 4.2'!A:A,$A29)</f>
        <v>1.8000000000000002E-2</v>
      </c>
      <c r="D29" s="290"/>
      <c r="E29" s="290">
        <f>SUMIFS('Exhibit 4.3'!G:G,'Exhibit 4.3'!A:A,$A29)</f>
        <v>9.9999999999988987E-4</v>
      </c>
      <c r="F29" s="291"/>
      <c r="G29" s="290">
        <f t="shared" si="0"/>
        <v>1.9017999999999979E-2</v>
      </c>
      <c r="H29" s="44"/>
      <c r="I29" s="30">
        <f t="shared" si="1"/>
        <v>0.84197189628330704</v>
      </c>
    </row>
    <row r="30" spans="1:9">
      <c r="A30" s="39">
        <f>+'Exhibit 4.1'!B30</f>
        <v>2008</v>
      </c>
      <c r="B30" s="44"/>
      <c r="C30" s="290">
        <f>SUMIFS('Exhibit 4.2'!L:L,'Exhibit 4.2'!A:A,$A30)</f>
        <v>2E-3</v>
      </c>
      <c r="D30" s="290"/>
      <c r="E30" s="290">
        <f>SUMIFS('Exhibit 4.3'!G:G,'Exhibit 4.3'!A:A,$A30)</f>
        <v>5.0059999999998439E-3</v>
      </c>
      <c r="F30" s="291"/>
      <c r="G30" s="290">
        <f t="shared" si="0"/>
        <v>7.0160119999997939E-3</v>
      </c>
      <c r="H30" s="44"/>
      <c r="I30" s="30">
        <f t="shared" si="1"/>
        <v>0.83610576818048377</v>
      </c>
    </row>
    <row r="31" spans="1:9">
      <c r="A31" s="39">
        <f>+'Exhibit 4.1'!B31</f>
        <v>2009</v>
      </c>
      <c r="B31" s="44"/>
      <c r="C31" s="290">
        <f>SUMIFS('Exhibit 4.2'!L:L,'Exhibit 4.2'!A:A,$A31)</f>
        <v>4.0000000000000001E-3</v>
      </c>
      <c r="D31" s="290"/>
      <c r="E31" s="290">
        <f>SUMIFS('Exhibit 4.3'!G:G,'Exhibit 4.3'!A:A,$A31)</f>
        <v>1.0000000000000009E-2</v>
      </c>
      <c r="F31" s="291"/>
      <c r="G31" s="290">
        <f t="shared" si="0"/>
        <v>1.4040000000000052E-2</v>
      </c>
      <c r="H31" s="44"/>
      <c r="I31" s="30">
        <f t="shared" si="1"/>
        <v>0.82452937574502361</v>
      </c>
    </row>
    <row r="32" spans="1:9">
      <c r="A32" s="39">
        <f>+'Exhibit 4.1'!B32</f>
        <v>2010</v>
      </c>
      <c r="B32" s="44"/>
      <c r="C32" s="290">
        <f>SUMIFS('Exhibit 4.2'!L:L,'Exhibit 4.2'!A:A,$A32)</f>
        <v>3.0000000000000001E-3</v>
      </c>
      <c r="D32" s="290"/>
      <c r="E32" s="290">
        <f>SUMIFS('Exhibit 4.3'!G:G,'Exhibit 4.3'!A:A,$A32)</f>
        <v>0</v>
      </c>
      <c r="F32" s="291"/>
      <c r="G32" s="290">
        <f t="shared" si="0"/>
        <v>2.9999999999998916E-3</v>
      </c>
      <c r="H32" s="44"/>
      <c r="I32" s="30">
        <f t="shared" si="1"/>
        <v>0.82206318618646435</v>
      </c>
    </row>
    <row r="33" spans="1:9">
      <c r="A33" s="39">
        <f>+'Exhibit 4.1'!B33</f>
        <v>2011</v>
      </c>
      <c r="B33" s="44"/>
      <c r="C33" s="290">
        <f>SUMIFS('Exhibit 4.2'!L:L,'Exhibit 4.2'!A:A,$A33)</f>
        <v>3.0000000000000001E-3</v>
      </c>
      <c r="D33" s="290"/>
      <c r="E33" s="290">
        <f>SUMIFS('Exhibit 4.3'!G:G,'Exhibit 4.3'!A:A,$A33)</f>
        <v>-2.0000000000000018E-2</v>
      </c>
      <c r="F33" s="291"/>
      <c r="G33" s="290">
        <f t="shared" si="0"/>
        <v>-1.7060000000000075E-2</v>
      </c>
      <c r="H33" s="44"/>
      <c r="I33" s="30">
        <f t="shared" si="1"/>
        <v>0.83633099292577817</v>
      </c>
    </row>
    <row r="34" spans="1:9">
      <c r="A34" s="39">
        <f>+'Exhibit 4.1'!B34</f>
        <v>2012</v>
      </c>
      <c r="B34" s="44"/>
      <c r="C34" s="290">
        <f>SUMIFS('Exhibit 4.2'!L:L,'Exhibit 4.2'!A:A,$A34)</f>
        <v>1E-3</v>
      </c>
      <c r="D34" s="290"/>
      <c r="E34" s="290">
        <f>SUMIFS('Exhibit 4.3'!G:G,'Exhibit 4.3'!A:A,$A34)</f>
        <v>-4.4000000000000039E-2</v>
      </c>
      <c r="F34" s="291"/>
      <c r="G34" s="290">
        <f t="shared" si="0"/>
        <v>-4.3044000000000193E-2</v>
      </c>
      <c r="H34" s="44"/>
      <c r="I34" s="30">
        <f t="shared" si="1"/>
        <v>0.87394926509241633</v>
      </c>
    </row>
    <row r="35" spans="1:9">
      <c r="A35" s="39">
        <f>+'Exhibit 4.1'!B35</f>
        <v>2013</v>
      </c>
      <c r="B35" s="44"/>
      <c r="C35" s="290">
        <f>SUMIFS('Exhibit 4.2'!L:L,'Exhibit 4.2'!A:A,$A35)</f>
        <v>1E-3</v>
      </c>
      <c r="D35" s="290"/>
      <c r="E35" s="290">
        <f>SUMIFS('Exhibit 4.3'!G:G,'Exhibit 4.3'!A:A,$A35)</f>
        <v>-8.0164000000000013E-2</v>
      </c>
      <c r="F35" s="291"/>
      <c r="G35" s="290">
        <f t="shared" si="0"/>
        <v>-7.9244164000000117E-2</v>
      </c>
      <c r="H35" s="44"/>
      <c r="I35" s="30">
        <f t="shared" si="1"/>
        <v>0.94916505649214966</v>
      </c>
    </row>
    <row r="36" spans="1:9">
      <c r="A36" s="39">
        <f>+'Exhibit 4.1'!B36</f>
        <v>2014</v>
      </c>
      <c r="B36" s="227"/>
      <c r="C36" s="290">
        <f>SUMIFS('Exhibit 4.2'!L:L,'Exhibit 4.2'!A:A,$A36)</f>
        <v>3.0000000000000001E-3</v>
      </c>
      <c r="D36" s="292"/>
      <c r="E36" s="290">
        <f>SUMIFS('Exhibit 4.3'!G:G,'Exhibit 4.3'!A:A,$A36)</f>
        <v>-4.6767000000000003E-2</v>
      </c>
      <c r="F36" s="293"/>
      <c r="G36" s="292">
        <f t="shared" si="0"/>
        <v>-4.3907301000000065E-2</v>
      </c>
      <c r="H36" s="227"/>
      <c r="I36" s="30">
        <f t="shared" si="1"/>
        <v>0.99275421461214375</v>
      </c>
    </row>
    <row r="37" spans="1:9">
      <c r="A37" s="39">
        <f>+'Exhibit 4.1'!B37</f>
        <v>2015</v>
      </c>
      <c r="B37" s="227"/>
      <c r="C37" s="290">
        <f>SUMIFS('Exhibit 4.2'!L:L,'Exhibit 4.2'!A:A,$A37)</f>
        <v>2E-3</v>
      </c>
      <c r="D37" s="292"/>
      <c r="E37" s="290">
        <f>SUMIFS('Exhibit 4.3'!G:G,'Exhibit 4.3'!A:A,$A37)</f>
        <v>-2.0000000000000018E-2</v>
      </c>
      <c r="F37" s="293"/>
      <c r="G37" s="292">
        <f t="shared" si="0"/>
        <v>-1.8040000000000056E-2</v>
      </c>
      <c r="H37" s="227"/>
      <c r="I37" s="30">
        <f t="shared" si="1"/>
        <v>1.0109925196669354</v>
      </c>
    </row>
    <row r="38" spans="1:9">
      <c r="A38" s="39">
        <f>+'Exhibit 4.1'!B38</f>
        <v>2016</v>
      </c>
      <c r="B38" s="227"/>
      <c r="C38" s="290">
        <f>SUMIFS('Exhibit 4.2'!L:L,'Exhibit 4.2'!A:A,$A38)</f>
        <v>4.0000000000000001E-3</v>
      </c>
      <c r="D38" s="292"/>
      <c r="E38" s="290">
        <f>SUMIFS('Exhibit 4.3'!G:G,'Exhibit 4.3'!A:A,$A38)</f>
        <v>-5.0000000000000044E-3</v>
      </c>
      <c r="F38" s="293"/>
      <c r="G38" s="292">
        <f t="shared" si="0"/>
        <v>-1.0200000000000209E-3</v>
      </c>
      <c r="H38" s="227"/>
      <c r="I38" s="30">
        <f t="shared" si="1"/>
        <v>1.0120247849475819</v>
      </c>
    </row>
    <row r="39" spans="1:9">
      <c r="A39" s="39">
        <f>+'Exhibit 4.1'!B39</f>
        <v>2017</v>
      </c>
      <c r="B39" s="227"/>
      <c r="C39" s="290">
        <f>SUMIFS('Exhibit 4.2'!L:L,'Exhibit 4.2'!A:A,$A39)</f>
        <v>2E-3</v>
      </c>
      <c r="D39" s="292"/>
      <c r="E39" s="290">
        <f>SUMIFS('Exhibit 4.3'!G:G,'Exhibit 4.3'!A:A,$A39)</f>
        <v>-4.0000000000000036E-3</v>
      </c>
      <c r="F39" s="293"/>
      <c r="G39" s="292">
        <f t="shared" si="0"/>
        <v>-2.0080000000000098E-3</v>
      </c>
      <c r="H39" s="227"/>
      <c r="I39" s="30">
        <f t="shared" si="1"/>
        <v>1.0140610194746871</v>
      </c>
    </row>
    <row r="40" spans="1:9">
      <c r="A40" s="39">
        <f>+'Exhibit 4.1'!B40</f>
        <v>2018</v>
      </c>
      <c r="B40" s="227"/>
      <c r="C40" s="290">
        <f>SUMIFS('Exhibit 4.2'!L:L,'Exhibit 4.2'!A:A,$A40)</f>
        <v>2E-3</v>
      </c>
      <c r="D40" s="292"/>
      <c r="E40" s="290">
        <f>SUMIFS('Exhibit 4.3'!G:G,'Exhibit 4.3'!A:A,$A40)</f>
        <v>-3.0000000000000027E-3</v>
      </c>
      <c r="F40" s="293"/>
      <c r="G40" s="292">
        <f t="shared" si="0"/>
        <v>-1.0059999999999514E-3</v>
      </c>
      <c r="H40" s="227"/>
      <c r="I40" s="30">
        <f>I41*(1+G41)</f>
        <v>1.01508219216</v>
      </c>
    </row>
    <row r="41" spans="1:9" s="255" customFormat="1">
      <c r="A41" s="39">
        <f>+'Exhibit 4.1'!B41</f>
        <v>2019</v>
      </c>
      <c r="B41" s="227"/>
      <c r="C41" s="290">
        <f>SUMIFS('Exhibit 4.2'!L:L,'Exhibit 4.2'!A:A,$A41)</f>
        <v>4.0000000000000001E-3</v>
      </c>
      <c r="D41" s="292"/>
      <c r="E41" s="290">
        <f>SUMIFS('Exhibit 4.3'!G:G,'Exhibit 4.3'!A:A,$A41)</f>
        <v>0</v>
      </c>
      <c r="F41" s="293"/>
      <c r="G41" s="292">
        <f t="shared" ref="G41:G42" si="2">(C41+1)*(1+E41)-1</f>
        <v>4.0000000000000036E-3</v>
      </c>
      <c r="H41" s="227"/>
      <c r="I41" s="444">
        <f>(1+G44)*(1+G43)*(1+G42)</f>
        <v>1.0110380399999999</v>
      </c>
    </row>
    <row r="42" spans="1:9" s="268" customFormat="1">
      <c r="A42" s="39">
        <f>+'Exhibit 4.1'!B42</f>
        <v>2020</v>
      </c>
      <c r="B42" s="227"/>
      <c r="C42" s="290">
        <f>SUMIFS('Exhibit 4.2'!L:L,'Exhibit 4.2'!A:A,$A42)</f>
        <v>5.0000000000000001E-3</v>
      </c>
      <c r="D42" s="292"/>
      <c r="E42" s="290">
        <f>SUMIFS('Exhibit 4.3'!G:G,'Exhibit 4.3'!A:A,$A42)</f>
        <v>0</v>
      </c>
      <c r="F42" s="293"/>
      <c r="G42" s="292">
        <f t="shared" si="2"/>
        <v>4.9999999999998934E-3</v>
      </c>
      <c r="H42" s="227"/>
      <c r="I42" s="303"/>
    </row>
    <row r="43" spans="1:9" s="331" customFormat="1">
      <c r="A43" s="39">
        <f>+'Exhibit 4.1'!B43</f>
        <v>2021</v>
      </c>
      <c r="B43" s="227"/>
      <c r="C43" s="290">
        <f>SUMIFS('Exhibit 4.2'!L:L,'Exhibit 4.2'!A:A,$A43)</f>
        <v>4.0000000000000001E-3</v>
      </c>
      <c r="D43" s="292"/>
      <c r="E43" s="290">
        <f>SUMIFS('Exhibit 4.3'!G:G,'Exhibit 4.3'!A:A,$A43)</f>
        <v>0</v>
      </c>
      <c r="F43" s="293"/>
      <c r="G43" s="292">
        <f t="shared" ref="G43" si="3">(C43+1)*(1+E43)-1</f>
        <v>4.0000000000000036E-3</v>
      </c>
      <c r="H43" s="227"/>
      <c r="I43" s="303"/>
    </row>
    <row r="44" spans="1:9">
      <c r="A44" s="39" t="str">
        <f>+'Exhibit 4.1'!B44</f>
        <v>11/1/2021</v>
      </c>
      <c r="B44" s="227"/>
      <c r="C44" s="290">
        <f>SUMIFS('Exhibit 4.2'!L:L,'Exhibit 4.2'!A:A,$A44)</f>
        <v>2E-3</v>
      </c>
      <c r="D44" s="293"/>
      <c r="E44" s="290">
        <f>SUMIFS('Exhibit 4.3'!G:G,'Exhibit 4.3'!A:A,$A44)</f>
        <v>0</v>
      </c>
      <c r="F44" s="293"/>
      <c r="G44" s="292">
        <f t="shared" si="0"/>
        <v>2.0000000000000018E-3</v>
      </c>
      <c r="H44" s="227"/>
      <c r="I44" s="296"/>
    </row>
    <row r="45" spans="1:9">
      <c r="A45" s="39"/>
      <c r="B45" s="227"/>
      <c r="C45" s="227"/>
      <c r="D45" s="227"/>
      <c r="E45" s="227"/>
      <c r="F45" s="227"/>
      <c r="G45" s="227"/>
      <c r="H45" s="227"/>
      <c r="I45" s="227"/>
    </row>
    <row r="46" spans="1:9">
      <c r="A46" s="40" t="s">
        <v>22</v>
      </c>
      <c r="B46" s="295" t="s">
        <v>121</v>
      </c>
      <c r="C46" s="115"/>
      <c r="D46" s="115"/>
      <c r="E46" s="115"/>
      <c r="F46" s="115"/>
      <c r="G46" s="115"/>
      <c r="H46" s="115"/>
      <c r="I46" s="115"/>
    </row>
    <row r="47" spans="1:9">
      <c r="A47" s="40" t="s">
        <v>28</v>
      </c>
      <c r="B47" s="295" t="s">
        <v>122</v>
      </c>
      <c r="C47" s="115"/>
      <c r="D47" s="115"/>
      <c r="E47" s="115"/>
      <c r="F47" s="115"/>
      <c r="G47" s="115"/>
      <c r="H47" s="115"/>
      <c r="I47" s="115"/>
    </row>
    <row r="48" spans="1:9">
      <c r="A48" s="40" t="s">
        <v>38</v>
      </c>
      <c r="B48" s="295" t="s">
        <v>123</v>
      </c>
      <c r="C48" s="115"/>
      <c r="D48" s="115"/>
      <c r="E48" s="115"/>
      <c r="F48" s="115"/>
      <c r="G48" s="115"/>
      <c r="H48" s="115"/>
      <c r="I48" s="115"/>
    </row>
    <row r="49" spans="1:9">
      <c r="A49" s="294" t="s">
        <v>124</v>
      </c>
      <c r="B49" s="295" t="str">
        <f>"These factors adjust the annual impact shown in Column (3) to the "&amp;$A$44&amp;" level."</f>
        <v>These factors adjust the annual impact shown in Column (3) to the 11/1/2021 level.</v>
      </c>
      <c r="C49" s="115"/>
      <c r="D49" s="115"/>
      <c r="E49" s="115"/>
      <c r="F49" s="115"/>
      <c r="G49" s="115"/>
      <c r="H49" s="115"/>
      <c r="I49" s="115"/>
    </row>
  </sheetData>
  <printOptions horizontalCentered="1"/>
  <pageMargins left="0.5" right="0.5" top="0.75" bottom="0.75" header="0.33" footer="0.33"/>
  <pageSetup scale="93" orientation="portrait" blackAndWhite="1" r:id="rId1"/>
  <headerFooter scaleWithDoc="0">
    <oddHeader>&amp;R&amp;"Arial,Regular"&amp;10Exhibit 4.4</oddHeader>
  </headerFooter>
  <ignoredErrors>
    <ignoredError sqref="C3:I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46"/>
  <sheetViews>
    <sheetView zoomScaleNormal="100" zoomScaleSheetLayoutView="100" workbookViewId="0"/>
  </sheetViews>
  <sheetFormatPr defaultColWidth="9.1328125" defaultRowHeight="12.75"/>
  <cols>
    <col min="1" max="1" width="16.73046875" style="110" customWidth="1"/>
    <col min="2" max="2" width="17.59765625" style="110" customWidth="1"/>
    <col min="3" max="3" width="20.73046875" style="110" customWidth="1"/>
    <col min="4" max="4" width="17.59765625" style="110" customWidth="1"/>
    <col min="5" max="5" width="20.73046875" style="110" customWidth="1"/>
    <col min="6" max="16384" width="9.1328125" style="110"/>
  </cols>
  <sheetData>
    <row r="1" spans="1:5" ht="13.15">
      <c r="A1" s="273" t="s">
        <v>125</v>
      </c>
      <c r="B1" s="273"/>
      <c r="C1" s="273"/>
      <c r="D1" s="273"/>
      <c r="E1" s="273"/>
    </row>
    <row r="2" spans="1:5">
      <c r="A2" s="64"/>
      <c r="B2" s="64"/>
      <c r="C2" s="65"/>
      <c r="D2" s="64"/>
      <c r="E2" s="65"/>
    </row>
    <row r="3" spans="1:5">
      <c r="A3" s="124"/>
      <c r="B3" s="10"/>
      <c r="C3" s="48" t="s">
        <v>126</v>
      </c>
      <c r="D3" s="10"/>
      <c r="E3" s="30" t="s">
        <v>82</v>
      </c>
    </row>
    <row r="4" spans="1:5">
      <c r="A4" s="26" t="s">
        <v>8</v>
      </c>
      <c r="B4" s="66"/>
      <c r="C4" s="67" t="s">
        <v>375</v>
      </c>
      <c r="D4" s="66"/>
      <c r="E4" s="46" t="str">
        <f>TEXT($A$42,"m/d/yyyy")&amp;" Wage Level"</f>
        <v>11/1/2021 Wage Level</v>
      </c>
    </row>
    <row r="5" spans="1:5">
      <c r="A5" s="188">
        <v>1987</v>
      </c>
      <c r="B5" s="68"/>
      <c r="C5" s="457">
        <v>5.6000000000000005</v>
      </c>
      <c r="D5" s="44"/>
      <c r="E5" s="30">
        <f t="shared" ref="E5:E34" si="0">E6*(1+C6/100)</f>
        <v>3.1656829739142194</v>
      </c>
    </row>
    <row r="6" spans="1:5">
      <c r="A6" s="286">
        <f t="shared" ref="A6:A37" si="1">A5+1</f>
        <v>1988</v>
      </c>
      <c r="B6" s="68"/>
      <c r="C6" s="457">
        <v>4.3999999999999995</v>
      </c>
      <c r="D6" s="44"/>
      <c r="E6" s="30">
        <f t="shared" si="0"/>
        <v>3.0322633849753058</v>
      </c>
    </row>
    <row r="7" spans="1:5">
      <c r="A7" s="286">
        <f t="shared" si="1"/>
        <v>1989</v>
      </c>
      <c r="B7" s="68"/>
      <c r="C7" s="457">
        <v>4.3</v>
      </c>
      <c r="D7" s="44"/>
      <c r="E7" s="30">
        <f t="shared" si="0"/>
        <v>2.9072515675698045</v>
      </c>
    </row>
    <row r="8" spans="1:5">
      <c r="A8" s="286">
        <f t="shared" si="1"/>
        <v>1990</v>
      </c>
      <c r="B8" s="68"/>
      <c r="C8" s="457">
        <v>5</v>
      </c>
      <c r="D8" s="44"/>
      <c r="E8" s="30">
        <f t="shared" si="0"/>
        <v>2.7688110167331472</v>
      </c>
    </row>
    <row r="9" spans="1:5">
      <c r="A9" s="286">
        <f t="shared" si="1"/>
        <v>1991</v>
      </c>
      <c r="B9" s="68"/>
      <c r="C9" s="457">
        <v>2.2999999999999998</v>
      </c>
      <c r="D9" s="44"/>
      <c r="E9" s="30">
        <f t="shared" si="0"/>
        <v>2.7065601336589906</v>
      </c>
    </row>
    <row r="10" spans="1:5">
      <c r="A10" s="286">
        <f t="shared" si="1"/>
        <v>1992</v>
      </c>
      <c r="B10" s="68"/>
      <c r="C10" s="457">
        <v>4.7</v>
      </c>
      <c r="D10" s="44"/>
      <c r="E10" s="30">
        <f t="shared" si="0"/>
        <v>2.5850622097984632</v>
      </c>
    </row>
    <row r="11" spans="1:5">
      <c r="A11" s="286">
        <f t="shared" si="1"/>
        <v>1993</v>
      </c>
      <c r="B11" s="68"/>
      <c r="C11" s="457">
        <v>1.2</v>
      </c>
      <c r="D11" s="44"/>
      <c r="E11" s="30">
        <f t="shared" si="0"/>
        <v>2.5544092982198254</v>
      </c>
    </row>
    <row r="12" spans="1:5">
      <c r="A12" s="286">
        <f t="shared" si="1"/>
        <v>1994</v>
      </c>
      <c r="B12" s="68"/>
      <c r="C12" s="457">
        <v>1.7999999999999998</v>
      </c>
      <c r="D12" s="44"/>
      <c r="E12" s="30">
        <f t="shared" si="0"/>
        <v>2.5092429255597497</v>
      </c>
    </row>
    <row r="13" spans="1:5">
      <c r="A13" s="286">
        <f t="shared" si="1"/>
        <v>1995</v>
      </c>
      <c r="B13" s="68"/>
      <c r="C13" s="457">
        <v>2.9000000000000004</v>
      </c>
      <c r="D13" s="44"/>
      <c r="E13" s="30">
        <f t="shared" si="0"/>
        <v>2.4385256808160833</v>
      </c>
    </row>
    <row r="14" spans="1:5">
      <c r="A14" s="286">
        <f t="shared" si="1"/>
        <v>1996</v>
      </c>
      <c r="B14" s="68"/>
      <c r="C14" s="457">
        <v>3.4000000000000004</v>
      </c>
      <c r="D14" s="44"/>
      <c r="E14" s="30">
        <f t="shared" si="0"/>
        <v>2.3583420510793842</v>
      </c>
    </row>
    <row r="15" spans="1:5">
      <c r="A15" s="286">
        <f t="shared" si="1"/>
        <v>1997</v>
      </c>
      <c r="B15" s="68"/>
      <c r="C15" s="457">
        <v>4.7</v>
      </c>
      <c r="D15" s="44"/>
      <c r="E15" s="30">
        <f t="shared" si="0"/>
        <v>2.2524756934855628</v>
      </c>
    </row>
    <row r="16" spans="1:5">
      <c r="A16" s="286">
        <f t="shared" si="1"/>
        <v>1998</v>
      </c>
      <c r="B16" s="68"/>
      <c r="C16" s="457">
        <v>5.2</v>
      </c>
      <c r="D16" s="44"/>
      <c r="E16" s="30">
        <f t="shared" si="0"/>
        <v>2.1411365907657438</v>
      </c>
    </row>
    <row r="17" spans="1:5">
      <c r="A17" s="286">
        <f t="shared" si="1"/>
        <v>1999</v>
      </c>
      <c r="B17" s="68"/>
      <c r="C17" s="457">
        <v>6.2</v>
      </c>
      <c r="D17" s="44"/>
      <c r="E17" s="30">
        <f t="shared" si="0"/>
        <v>2.0161361494969339</v>
      </c>
    </row>
    <row r="18" spans="1:5">
      <c r="A18" s="286">
        <f t="shared" si="1"/>
        <v>2000</v>
      </c>
      <c r="B18" s="68"/>
      <c r="C18" s="457">
        <v>9</v>
      </c>
      <c r="D18" s="44"/>
      <c r="E18" s="30">
        <f t="shared" si="0"/>
        <v>1.8496661921990218</v>
      </c>
    </row>
    <row r="19" spans="1:5">
      <c r="A19" s="286">
        <f t="shared" si="1"/>
        <v>2001</v>
      </c>
      <c r="B19" s="68"/>
      <c r="C19" s="457">
        <v>0.6</v>
      </c>
      <c r="D19" s="44"/>
      <c r="E19" s="30">
        <f t="shared" si="0"/>
        <v>1.8386343858837195</v>
      </c>
    </row>
    <row r="20" spans="1:5">
      <c r="A20" s="286">
        <f t="shared" si="1"/>
        <v>2002</v>
      </c>
      <c r="B20" s="68"/>
      <c r="C20" s="457">
        <v>1.0999999999999999</v>
      </c>
      <c r="D20" s="44"/>
      <c r="E20" s="30">
        <f t="shared" si="0"/>
        <v>1.818629461803877</v>
      </c>
    </row>
    <row r="21" spans="1:5">
      <c r="A21" s="286">
        <f t="shared" si="1"/>
        <v>2003</v>
      </c>
      <c r="B21" s="68"/>
      <c r="C21" s="457">
        <v>3.5999999999999996</v>
      </c>
      <c r="D21" s="44"/>
      <c r="E21" s="30">
        <f t="shared" si="0"/>
        <v>1.7554338434400356</v>
      </c>
    </row>
    <row r="22" spans="1:5">
      <c r="A22" s="286">
        <f t="shared" si="1"/>
        <v>2004</v>
      </c>
      <c r="B22" s="68"/>
      <c r="C22" s="457">
        <v>5</v>
      </c>
      <c r="D22" s="44"/>
      <c r="E22" s="30">
        <f t="shared" si="0"/>
        <v>1.6718417556571767</v>
      </c>
    </row>
    <row r="23" spans="1:5">
      <c r="A23" s="286">
        <f t="shared" si="1"/>
        <v>2005</v>
      </c>
      <c r="B23" s="68"/>
      <c r="C23" s="457">
        <v>3.2</v>
      </c>
      <c r="D23" s="44"/>
      <c r="E23" s="30">
        <f t="shared" si="0"/>
        <v>1.6200017012181944</v>
      </c>
    </row>
    <row r="24" spans="1:5">
      <c r="A24" s="286">
        <f t="shared" si="1"/>
        <v>2006</v>
      </c>
      <c r="B24" s="68"/>
      <c r="C24" s="457">
        <v>4.5999999999999996</v>
      </c>
      <c r="D24" s="44"/>
      <c r="E24" s="30">
        <f t="shared" si="0"/>
        <v>1.5487587965757117</v>
      </c>
    </row>
    <row r="25" spans="1:5">
      <c r="A25" s="286">
        <f t="shared" si="1"/>
        <v>2007</v>
      </c>
      <c r="B25" s="68"/>
      <c r="C25" s="457">
        <v>4.5</v>
      </c>
      <c r="D25" s="44"/>
      <c r="E25" s="30">
        <f t="shared" si="0"/>
        <v>1.4820658340437434</v>
      </c>
    </row>
    <row r="26" spans="1:5">
      <c r="A26" s="286">
        <f t="shared" si="1"/>
        <v>2008</v>
      </c>
      <c r="B26" s="68"/>
      <c r="C26" s="457">
        <v>2.1</v>
      </c>
      <c r="D26" s="44"/>
      <c r="E26" s="30">
        <f t="shared" si="0"/>
        <v>1.4515825994551845</v>
      </c>
    </row>
    <row r="27" spans="1:5">
      <c r="A27" s="286">
        <f t="shared" si="1"/>
        <v>2009</v>
      </c>
      <c r="B27" s="68"/>
      <c r="C27" s="457">
        <v>0.5</v>
      </c>
      <c r="D27" s="44"/>
      <c r="E27" s="30">
        <f t="shared" si="0"/>
        <v>1.4443607954777957</v>
      </c>
    </row>
    <row r="28" spans="1:5">
      <c r="A28" s="286">
        <f t="shared" si="1"/>
        <v>2010</v>
      </c>
      <c r="B28" s="68"/>
      <c r="C28" s="457">
        <v>3</v>
      </c>
      <c r="D28" s="44"/>
      <c r="E28" s="30">
        <f t="shared" si="0"/>
        <v>1.4022920344444618</v>
      </c>
    </row>
    <row r="29" spans="1:5">
      <c r="A29" s="286">
        <f t="shared" si="1"/>
        <v>2011</v>
      </c>
      <c r="B29" s="68"/>
      <c r="C29" s="457">
        <v>3</v>
      </c>
      <c r="D29" s="44"/>
      <c r="E29" s="30">
        <f t="shared" si="0"/>
        <v>1.3614485771305453</v>
      </c>
    </row>
    <row r="30" spans="1:5">
      <c r="A30" s="286">
        <f t="shared" si="1"/>
        <v>2012</v>
      </c>
      <c r="B30" s="68"/>
      <c r="C30" s="457">
        <v>4.2</v>
      </c>
      <c r="D30" s="44"/>
      <c r="E30" s="30">
        <f t="shared" si="0"/>
        <v>1.3065725308354561</v>
      </c>
    </row>
    <row r="31" spans="1:5">
      <c r="A31" s="286">
        <f t="shared" si="1"/>
        <v>2013</v>
      </c>
      <c r="B31" s="68"/>
      <c r="C31" s="457">
        <v>0.70000000000000007</v>
      </c>
      <c r="D31" s="44"/>
      <c r="E31" s="30">
        <f t="shared" si="0"/>
        <v>1.2974901001345147</v>
      </c>
    </row>
    <row r="32" spans="1:5">
      <c r="A32" s="286">
        <f t="shared" si="1"/>
        <v>2014</v>
      </c>
      <c r="B32" s="68"/>
      <c r="C32" s="457">
        <v>3.3000000000000003</v>
      </c>
      <c r="D32" s="44"/>
      <c r="E32" s="30">
        <f t="shared" si="0"/>
        <v>1.2560407552125021</v>
      </c>
    </row>
    <row r="33" spans="1:5">
      <c r="A33" s="286">
        <f t="shared" si="1"/>
        <v>2015</v>
      </c>
      <c r="B33" s="68"/>
      <c r="C33" s="457">
        <v>4.3999999999999995</v>
      </c>
      <c r="D33" s="44"/>
      <c r="E33" s="30">
        <f t="shared" si="0"/>
        <v>1.2031041716594848</v>
      </c>
    </row>
    <row r="34" spans="1:5">
      <c r="A34" s="286">
        <f t="shared" si="1"/>
        <v>2016</v>
      </c>
      <c r="B34" s="68"/>
      <c r="C34" s="457">
        <v>1.7999999999999998</v>
      </c>
      <c r="D34" s="44"/>
      <c r="E34" s="30">
        <f t="shared" si="0"/>
        <v>1.1818312098816157</v>
      </c>
    </row>
    <row r="35" spans="1:5">
      <c r="A35" s="39">
        <f t="shared" si="1"/>
        <v>2017</v>
      </c>
      <c r="B35" s="375"/>
      <c r="C35" s="457">
        <v>4.2</v>
      </c>
      <c r="D35" s="44"/>
      <c r="E35" s="30">
        <f>E36*(1+C36/100)</f>
        <v>1.1341950190802454</v>
      </c>
    </row>
    <row r="36" spans="1:5">
      <c r="A36" s="39">
        <f t="shared" si="1"/>
        <v>2018</v>
      </c>
      <c r="B36" s="375"/>
      <c r="C36" s="457">
        <v>4.1000000000000005</v>
      </c>
      <c r="D36" s="44"/>
      <c r="E36" s="30">
        <f>E37*(1+C37/100)</f>
        <v>1.0895245140059995</v>
      </c>
    </row>
    <row r="37" spans="1:5">
      <c r="A37" s="39">
        <f t="shared" si="1"/>
        <v>2019</v>
      </c>
      <c r="B37" s="44"/>
      <c r="C37" s="457">
        <v>4.1000000000000005</v>
      </c>
      <c r="D37" s="44"/>
      <c r="E37" s="296">
        <v>1.0466133659999997</v>
      </c>
    </row>
    <row r="38" spans="1:5">
      <c r="A38" s="112"/>
      <c r="B38" s="375"/>
      <c r="C38" s="457"/>
      <c r="D38" s="112"/>
      <c r="E38" s="57"/>
    </row>
    <row r="39" spans="1:5">
      <c r="A39" s="39" t="s">
        <v>362</v>
      </c>
      <c r="B39" s="112"/>
      <c r="C39" s="456"/>
      <c r="D39" s="112"/>
      <c r="E39" s="112"/>
    </row>
    <row r="40" spans="1:5">
      <c r="A40" s="39">
        <f>A37+1</f>
        <v>2020</v>
      </c>
      <c r="B40" s="44"/>
      <c r="C40" s="457">
        <v>0.70000000000000007</v>
      </c>
      <c r="D40" s="112" t="s">
        <v>28</v>
      </c>
      <c r="E40" s="29"/>
    </row>
    <row r="41" spans="1:5">
      <c r="A41" s="39">
        <f>A40+1</f>
        <v>2021</v>
      </c>
      <c r="B41" s="44"/>
      <c r="C41" s="457">
        <v>2.6</v>
      </c>
      <c r="D41" s="112"/>
      <c r="E41" s="29"/>
    </row>
    <row r="42" spans="1:5">
      <c r="A42" s="58">
        <v>44501</v>
      </c>
      <c r="B42" s="44"/>
      <c r="C42" s="457">
        <v>1.27</v>
      </c>
      <c r="D42" s="456" t="s">
        <v>527</v>
      </c>
      <c r="E42" s="44"/>
    </row>
    <row r="43" spans="1:5">
      <c r="A43" s="39"/>
      <c r="B43" s="44"/>
      <c r="C43" s="376"/>
      <c r="D43" s="44"/>
      <c r="E43" s="57"/>
    </row>
    <row r="44" spans="1:5" ht="53.1" customHeight="1">
      <c r="A44" s="42" t="s">
        <v>22</v>
      </c>
      <c r="B44" s="543" t="s">
        <v>396</v>
      </c>
      <c r="C44" s="543"/>
      <c r="D44" s="543"/>
      <c r="E44" s="543"/>
    </row>
    <row r="45" spans="1:5">
      <c r="A45" s="42" t="s">
        <v>28</v>
      </c>
      <c r="B45" s="112" t="s">
        <v>408</v>
      </c>
      <c r="C45" s="112"/>
      <c r="D45" s="112"/>
      <c r="E45" s="112"/>
    </row>
    <row r="46" spans="1:5">
      <c r="A46" s="112"/>
      <c r="B46" s="112" t="s">
        <v>409</v>
      </c>
      <c r="C46" s="112"/>
      <c r="D46" s="112"/>
      <c r="E46" s="112"/>
    </row>
  </sheetData>
  <mergeCells count="1">
    <mergeCell ref="B44:E44"/>
  </mergeCells>
  <pageMargins left="0.5" right="0.5" top="0.75" bottom="0.75" header="0.33" footer="0.33"/>
  <pageSetup scale="99" orientation="portrait" blackAndWhite="1" horizontalDpi="1200" verticalDpi="1200" r:id="rId1"/>
  <headerFooter scaleWithDoc="0">
    <oddHeader>&amp;R&amp;"Arial,Regular"&amp;10Exhibit 5.1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T59"/>
  <sheetViews>
    <sheetView zoomScaleNormal="100" workbookViewId="0"/>
  </sheetViews>
  <sheetFormatPr defaultColWidth="9.1328125" defaultRowHeight="12.75"/>
  <cols>
    <col min="1" max="1" width="8.3984375" style="184" customWidth="1"/>
    <col min="2" max="2" width="4" style="184" customWidth="1"/>
    <col min="3" max="3" width="6" style="184" customWidth="1"/>
    <col min="4" max="6" width="7.1328125" style="184" customWidth="1"/>
    <col min="7" max="7" width="8.1328125" style="184" customWidth="1"/>
    <col min="8" max="8" width="7.1328125" style="184" customWidth="1"/>
    <col min="9" max="9" width="11.73046875" style="184" customWidth="1"/>
    <col min="10" max="10" width="5.73046875" style="184" customWidth="1"/>
    <col min="11" max="11" width="6" style="184" customWidth="1"/>
    <col min="12" max="12" width="6.265625" style="184" customWidth="1"/>
    <col min="13" max="13" width="9.73046875" style="184" customWidth="1"/>
    <col min="14" max="14" width="5.265625" style="184" customWidth="1"/>
    <col min="15" max="15" width="8.1328125" style="184" customWidth="1"/>
    <col min="16" max="16" width="7.1328125" style="184" customWidth="1"/>
    <col min="17" max="17" width="6" style="184" customWidth="1"/>
    <col min="18" max="18" width="4.59765625" style="184" customWidth="1"/>
    <col min="19" max="19" width="11.265625" style="184" bestFit="1" customWidth="1"/>
    <col min="20" max="16384" width="9.1328125" style="184"/>
  </cols>
  <sheetData>
    <row r="1" spans="1:20" ht="16.149999999999999" customHeight="1">
      <c r="A1" s="202" t="s">
        <v>127</v>
      </c>
      <c r="B1" s="202"/>
      <c r="C1" s="202"/>
      <c r="D1" s="202"/>
      <c r="E1" s="202"/>
      <c r="F1" s="202"/>
      <c r="G1" s="202"/>
      <c r="H1" s="202"/>
      <c r="I1" s="202"/>
      <c r="J1" s="202"/>
      <c r="K1" s="202"/>
      <c r="L1" s="202"/>
      <c r="M1" s="202"/>
      <c r="N1" s="202"/>
      <c r="O1" s="202"/>
      <c r="P1" s="202"/>
      <c r="Q1" s="202"/>
      <c r="R1" s="202"/>
      <c r="S1" s="202"/>
      <c r="T1" s="186"/>
    </row>
    <row r="2" spans="1:20" ht="16.149999999999999" customHeight="1">
      <c r="A2" s="188"/>
      <c r="B2" s="188"/>
      <c r="C2" s="188"/>
      <c r="D2" s="188"/>
      <c r="E2" s="188"/>
      <c r="F2" s="188"/>
      <c r="G2" s="188"/>
      <c r="H2" s="188"/>
      <c r="I2" s="188"/>
      <c r="J2" s="188"/>
      <c r="K2" s="188"/>
      <c r="L2" s="188"/>
      <c r="M2" s="188"/>
      <c r="N2" s="188"/>
      <c r="O2" s="188"/>
      <c r="P2" s="188"/>
      <c r="Q2" s="188"/>
      <c r="R2" s="188"/>
      <c r="S2" s="188"/>
      <c r="T2" s="188"/>
    </row>
    <row r="3" spans="1:20" ht="16.149999999999999" customHeight="1">
      <c r="A3" s="188"/>
      <c r="B3" s="188"/>
      <c r="C3" s="27" t="s">
        <v>45</v>
      </c>
      <c r="D3" s="188"/>
      <c r="E3" s="40" t="s">
        <v>128</v>
      </c>
      <c r="F3" s="188"/>
      <c r="G3" s="40" t="s">
        <v>129</v>
      </c>
      <c r="H3" s="188"/>
      <c r="I3" s="40" t="s">
        <v>130</v>
      </c>
      <c r="J3" s="188"/>
      <c r="K3" s="27" t="s">
        <v>47</v>
      </c>
      <c r="L3" s="188"/>
      <c r="M3" s="27" t="s">
        <v>48</v>
      </c>
      <c r="N3" s="188"/>
      <c r="O3" s="27" t="s">
        <v>50</v>
      </c>
      <c r="P3" s="188"/>
      <c r="Q3" s="40" t="s">
        <v>51</v>
      </c>
      <c r="R3" s="188"/>
      <c r="S3" s="27" t="s">
        <v>131</v>
      </c>
      <c r="T3" s="188"/>
    </row>
    <row r="4" spans="1:20" ht="16.149999999999999" customHeight="1">
      <c r="A4" s="188"/>
      <c r="B4" s="188"/>
      <c r="C4" s="188"/>
      <c r="D4" s="188"/>
      <c r="F4" s="188"/>
      <c r="G4" s="188"/>
      <c r="H4" s="188"/>
      <c r="I4" s="39" t="s">
        <v>83</v>
      </c>
      <c r="J4" s="188"/>
      <c r="K4" s="188"/>
      <c r="L4" s="188"/>
      <c r="M4" s="188"/>
      <c r="N4" s="188"/>
      <c r="O4" s="188"/>
      <c r="P4" s="188"/>
      <c r="Q4" s="188"/>
      <c r="R4" s="188"/>
      <c r="S4" s="31"/>
      <c r="T4" s="188"/>
    </row>
    <row r="5" spans="1:20" ht="16.149999999999999" customHeight="1">
      <c r="A5" s="188"/>
      <c r="B5" s="188"/>
      <c r="C5" s="188"/>
      <c r="D5" s="188"/>
      <c r="E5" s="39" t="s">
        <v>132</v>
      </c>
      <c r="F5" s="188"/>
      <c r="G5" s="39" t="s">
        <v>133</v>
      </c>
      <c r="H5" s="188"/>
      <c r="I5" s="39" t="s">
        <v>134</v>
      </c>
      <c r="J5" s="188"/>
      <c r="K5" s="188"/>
      <c r="L5" s="188"/>
      <c r="M5" s="188"/>
      <c r="N5" s="188"/>
      <c r="O5" s="188" t="s">
        <v>135</v>
      </c>
      <c r="P5" s="188"/>
      <c r="Q5" s="188"/>
      <c r="R5" s="188"/>
      <c r="S5" s="188"/>
    </row>
    <row r="6" spans="1:20" ht="16.149999999999999" customHeight="1">
      <c r="A6" s="188"/>
      <c r="B6" s="188"/>
      <c r="C6" s="188"/>
      <c r="D6" s="188"/>
      <c r="E6" s="39" t="s">
        <v>136</v>
      </c>
      <c r="F6" s="188"/>
      <c r="G6" s="58" t="s">
        <v>137</v>
      </c>
      <c r="H6" s="188"/>
      <c r="I6" s="39" t="s">
        <v>138</v>
      </c>
      <c r="J6" s="188"/>
      <c r="K6" s="188"/>
      <c r="L6" s="188"/>
      <c r="M6" s="188"/>
      <c r="N6" s="188"/>
      <c r="O6" s="188" t="s">
        <v>139</v>
      </c>
      <c r="P6" s="27"/>
      <c r="Q6" s="39" t="s">
        <v>83</v>
      </c>
      <c r="R6" s="188"/>
      <c r="S6" s="188"/>
      <c r="T6" s="188"/>
    </row>
    <row r="7" spans="1:20" ht="16.149999999999999" customHeight="1">
      <c r="A7" s="188"/>
      <c r="B7" s="188"/>
      <c r="C7" s="188"/>
      <c r="D7" s="188"/>
      <c r="E7" s="188" t="s">
        <v>140</v>
      </c>
      <c r="F7" s="188"/>
      <c r="G7" s="39" t="s">
        <v>141</v>
      </c>
      <c r="H7" s="188"/>
      <c r="I7" s="39" t="s">
        <v>141</v>
      </c>
      <c r="J7" s="188"/>
      <c r="K7" s="188" t="s">
        <v>142</v>
      </c>
      <c r="L7" s="188"/>
      <c r="M7" s="188"/>
      <c r="N7" s="188"/>
      <c r="O7" s="188" t="s">
        <v>143</v>
      </c>
      <c r="P7" s="188"/>
      <c r="Q7" s="39" t="s">
        <v>144</v>
      </c>
      <c r="R7" s="188"/>
      <c r="S7" s="188" t="s">
        <v>64</v>
      </c>
      <c r="T7" s="188"/>
    </row>
    <row r="8" spans="1:20" ht="16.149999999999999" customHeight="1">
      <c r="A8" s="188"/>
      <c r="B8" s="188"/>
      <c r="C8" s="188" t="s">
        <v>82</v>
      </c>
      <c r="D8" s="188"/>
      <c r="E8" s="188" t="s">
        <v>145</v>
      </c>
      <c r="F8" s="188"/>
      <c r="G8" s="39" t="s">
        <v>146</v>
      </c>
      <c r="H8" s="188"/>
      <c r="I8" s="39" t="s">
        <v>147</v>
      </c>
      <c r="J8" s="188"/>
      <c r="K8" s="188" t="s">
        <v>148</v>
      </c>
      <c r="L8" s="188"/>
      <c r="M8" s="188" t="s">
        <v>149</v>
      </c>
      <c r="N8" s="188"/>
      <c r="O8" s="461" t="s">
        <v>534</v>
      </c>
      <c r="P8" s="188"/>
      <c r="Q8" s="39" t="s">
        <v>150</v>
      </c>
      <c r="R8" s="188"/>
      <c r="S8" s="188" t="s">
        <v>9</v>
      </c>
      <c r="T8" s="188"/>
    </row>
    <row r="9" spans="1:20" ht="16.149999999999999" customHeight="1">
      <c r="A9" s="188" t="s">
        <v>151</v>
      </c>
      <c r="B9" s="188"/>
      <c r="C9" s="171" t="str">
        <f>'Exhibit 4.4'!A44</f>
        <v>11/1/2021</v>
      </c>
      <c r="D9" s="188"/>
      <c r="E9" s="39" t="s">
        <v>146</v>
      </c>
      <c r="F9" s="188"/>
      <c r="G9" s="188" t="s">
        <v>152</v>
      </c>
      <c r="H9" s="188"/>
      <c r="I9" s="39" t="s">
        <v>152</v>
      </c>
      <c r="J9" s="188"/>
      <c r="K9" s="188" t="s">
        <v>153</v>
      </c>
      <c r="L9" s="188"/>
      <c r="M9" s="188" t="s">
        <v>154</v>
      </c>
      <c r="N9" s="188"/>
      <c r="O9" s="188" t="s">
        <v>146</v>
      </c>
      <c r="P9" s="188"/>
      <c r="Q9" s="39" t="s">
        <v>155</v>
      </c>
      <c r="R9" s="188"/>
      <c r="S9" s="188" t="s">
        <v>142</v>
      </c>
      <c r="T9" s="188"/>
    </row>
    <row r="10" spans="1:20" ht="16.149999999999999" customHeight="1">
      <c r="A10" s="26" t="s">
        <v>8</v>
      </c>
      <c r="B10" s="26"/>
      <c r="C10" s="26" t="s">
        <v>156</v>
      </c>
      <c r="D10" s="26"/>
      <c r="E10" s="41" t="s">
        <v>157</v>
      </c>
      <c r="F10" s="26"/>
      <c r="G10" s="41" t="s">
        <v>532</v>
      </c>
      <c r="H10" s="26"/>
      <c r="I10" s="41" t="s">
        <v>533</v>
      </c>
      <c r="J10" s="26"/>
      <c r="K10" s="26" t="s">
        <v>158</v>
      </c>
      <c r="L10" s="26"/>
      <c r="M10" s="26" t="s">
        <v>159</v>
      </c>
      <c r="N10" s="26"/>
      <c r="O10" s="71" t="s">
        <v>160</v>
      </c>
      <c r="P10" s="26"/>
      <c r="Q10" s="41" t="s">
        <v>161</v>
      </c>
      <c r="R10" s="26"/>
      <c r="S10" s="26" t="s">
        <v>162</v>
      </c>
      <c r="T10" s="26"/>
    </row>
    <row r="11" spans="1:20" ht="16.149999999999999" customHeight="1">
      <c r="A11" s="188">
        <f>+'Exhibit 4.1'!B9</f>
        <v>1987</v>
      </c>
      <c r="B11" s="30"/>
      <c r="C11" s="30">
        <f>SUMIFS('Exhibit 5.1'!E:E,'Exhibit 5.1'!A:A,$A11)</f>
        <v>3.1656829739142194</v>
      </c>
      <c r="D11" s="30"/>
      <c r="E11" s="30" t="s">
        <v>32</v>
      </c>
      <c r="F11" s="30"/>
      <c r="G11" s="30" t="s">
        <v>32</v>
      </c>
      <c r="H11" s="30"/>
      <c r="I11" s="458">
        <v>0.57350229761677063</v>
      </c>
      <c r="J11" s="30"/>
      <c r="K11" s="458">
        <v>0.99199999999999999</v>
      </c>
      <c r="L11" s="458"/>
      <c r="M11" s="458">
        <v>0.98299999999999998</v>
      </c>
      <c r="N11" s="30"/>
      <c r="O11" s="301">
        <v>1.014</v>
      </c>
      <c r="P11" s="30"/>
      <c r="Q11" s="30" t="s">
        <v>32</v>
      </c>
      <c r="R11" s="30"/>
      <c r="S11" s="30">
        <f t="shared" ref="S11:S38" si="0">(C11*I11*K11)/(M11*O11)</f>
        <v>1.8068528368793828</v>
      </c>
      <c r="T11" s="54"/>
    </row>
    <row r="12" spans="1:20" ht="16.149999999999999" customHeight="1">
      <c r="A12" s="188">
        <f>+'Exhibit 4.1'!B10</f>
        <v>1988</v>
      </c>
      <c r="B12" s="30"/>
      <c r="C12" s="30">
        <f>SUMIFS('Exhibit 5.1'!E:E,'Exhibit 5.1'!A:A,$A12)</f>
        <v>3.0322633849753058</v>
      </c>
      <c r="D12" s="30"/>
      <c r="E12" s="30" t="s">
        <v>32</v>
      </c>
      <c r="F12" s="30"/>
      <c r="G12" s="30" t="s">
        <v>32</v>
      </c>
      <c r="H12" s="30"/>
      <c r="I12" s="458">
        <v>0.51347916262499094</v>
      </c>
      <c r="J12" s="30"/>
      <c r="K12" s="458">
        <v>0.99299999999999999</v>
      </c>
      <c r="L12" s="458"/>
      <c r="M12" s="458">
        <v>0.96299999999999997</v>
      </c>
      <c r="N12" s="30"/>
      <c r="O12" s="30">
        <f t="shared" ref="O12:O43" si="1">$O$11</f>
        <v>1.014</v>
      </c>
      <c r="P12" s="30"/>
      <c r="Q12" s="30" t="s">
        <v>32</v>
      </c>
      <c r="R12" s="30"/>
      <c r="S12" s="30">
        <f t="shared" si="0"/>
        <v>1.5833420742308735</v>
      </c>
      <c r="T12" s="54"/>
    </row>
    <row r="13" spans="1:20" ht="16.149999999999999" customHeight="1">
      <c r="A13" s="188">
        <f>+'Exhibit 4.1'!B11</f>
        <v>1989</v>
      </c>
      <c r="B13" s="30"/>
      <c r="C13" s="30">
        <f>SUMIFS('Exhibit 5.1'!E:E,'Exhibit 5.1'!A:A,$A13)</f>
        <v>2.9072515675698045</v>
      </c>
      <c r="D13" s="30"/>
      <c r="E13" s="30" t="s">
        <v>32</v>
      </c>
      <c r="F13" s="30"/>
      <c r="G13" s="30" t="s">
        <v>32</v>
      </c>
      <c r="H13" s="30"/>
      <c r="I13" s="458">
        <v>0.50550734000889519</v>
      </c>
      <c r="J13" s="30"/>
      <c r="K13" s="458">
        <v>0.99299999999999999</v>
      </c>
      <c r="L13" s="458"/>
      <c r="M13" s="458">
        <v>0.94499999999999995</v>
      </c>
      <c r="N13" s="30"/>
      <c r="O13" s="30">
        <f t="shared" si="1"/>
        <v>1.014</v>
      </c>
      <c r="P13" s="30"/>
      <c r="Q13" s="30" t="s">
        <v>32</v>
      </c>
      <c r="R13" s="30"/>
      <c r="S13" s="30">
        <f t="shared" si="0"/>
        <v>1.5229637431642615</v>
      </c>
      <c r="T13" s="54"/>
    </row>
    <row r="14" spans="1:20" ht="16.149999999999999" customHeight="1">
      <c r="A14" s="188">
        <f>+'Exhibit 4.1'!B12</f>
        <v>1990</v>
      </c>
      <c r="B14" s="30"/>
      <c r="C14" s="30">
        <f>SUMIFS('Exhibit 5.1'!E:E,'Exhibit 5.1'!A:A,$A14)</f>
        <v>2.7688110167331472</v>
      </c>
      <c r="D14" s="30"/>
      <c r="E14" s="30" t="s">
        <v>32</v>
      </c>
      <c r="F14" s="30"/>
      <c r="G14" s="30" t="s">
        <v>32</v>
      </c>
      <c r="H14" s="30"/>
      <c r="I14" s="458">
        <v>0.49284620997156658</v>
      </c>
      <c r="J14" s="30"/>
      <c r="K14" s="458">
        <v>0.99099999999999999</v>
      </c>
      <c r="L14" s="458"/>
      <c r="M14" s="458">
        <v>0.94199999999999995</v>
      </c>
      <c r="N14" s="30"/>
      <c r="O14" s="30">
        <f t="shared" si="1"/>
        <v>1.014</v>
      </c>
      <c r="P14" s="30"/>
      <c r="Q14" s="30" t="s">
        <v>32</v>
      </c>
      <c r="R14" s="30"/>
      <c r="S14" s="30">
        <f t="shared" si="0"/>
        <v>1.415759655254182</v>
      </c>
      <c r="T14" s="54"/>
    </row>
    <row r="15" spans="1:20" ht="16.149999999999999" customHeight="1">
      <c r="A15" s="188">
        <f>+'Exhibit 4.1'!B13</f>
        <v>1991</v>
      </c>
      <c r="B15" s="30"/>
      <c r="C15" s="30">
        <f>SUMIFS('Exhibit 5.1'!E:E,'Exhibit 5.1'!A:A,$A15)</f>
        <v>2.7065601336589906</v>
      </c>
      <c r="D15" s="30"/>
      <c r="E15" s="30" t="s">
        <v>32</v>
      </c>
      <c r="F15" s="30"/>
      <c r="G15" s="30" t="s">
        <v>32</v>
      </c>
      <c r="H15" s="30"/>
      <c r="I15" s="458">
        <v>0.45673854282807413</v>
      </c>
      <c r="J15" s="30"/>
      <c r="K15" s="458">
        <v>0.98699999999999999</v>
      </c>
      <c r="L15" s="458"/>
      <c r="M15" s="458">
        <v>0.93899999999999995</v>
      </c>
      <c r="N15" s="30"/>
      <c r="O15" s="30">
        <f t="shared" si="1"/>
        <v>1.014</v>
      </c>
      <c r="P15" s="30"/>
      <c r="Q15" s="30" t="s">
        <v>32</v>
      </c>
      <c r="R15" s="30"/>
      <c r="S15" s="30">
        <f t="shared" si="0"/>
        <v>1.2814419818117742</v>
      </c>
      <c r="T15" s="54"/>
    </row>
    <row r="16" spans="1:20" ht="16.149999999999999" customHeight="1">
      <c r="A16" s="188">
        <f>+'Exhibit 4.1'!B14</f>
        <v>1992</v>
      </c>
      <c r="B16" s="30"/>
      <c r="C16" s="30">
        <f>SUMIFS('Exhibit 5.1'!E:E,'Exhibit 5.1'!A:A,$A16)</f>
        <v>2.5850622097984632</v>
      </c>
      <c r="D16" s="30"/>
      <c r="E16" s="30" t="s">
        <v>32</v>
      </c>
      <c r="F16" s="30"/>
      <c r="G16" s="30" t="s">
        <v>32</v>
      </c>
      <c r="H16" s="30"/>
      <c r="I16" s="458">
        <v>0.43751238240101969</v>
      </c>
      <c r="J16" s="30"/>
      <c r="K16" s="458">
        <v>0.98199999999999998</v>
      </c>
      <c r="L16" s="458"/>
      <c r="M16" s="458">
        <v>0.94</v>
      </c>
      <c r="N16" s="30"/>
      <c r="O16" s="30">
        <f t="shared" si="1"/>
        <v>1.014</v>
      </c>
      <c r="P16" s="30"/>
      <c r="Q16" s="30" t="s">
        <v>32</v>
      </c>
      <c r="R16" s="30"/>
      <c r="S16" s="30">
        <f t="shared" si="0"/>
        <v>1.1652175762669672</v>
      </c>
      <c r="T16" s="54"/>
    </row>
    <row r="17" spans="1:20" ht="16.149999999999999" customHeight="1">
      <c r="A17" s="188">
        <f>+'Exhibit 4.1'!B15</f>
        <v>1993</v>
      </c>
      <c r="B17" s="30"/>
      <c r="C17" s="30">
        <f>SUMIFS('Exhibit 5.1'!E:E,'Exhibit 5.1'!A:A,$A17)</f>
        <v>2.5544092982198254</v>
      </c>
      <c r="D17" s="30"/>
      <c r="E17" s="30" t="s">
        <v>32</v>
      </c>
      <c r="F17" s="30"/>
      <c r="G17" s="30" t="s">
        <v>32</v>
      </c>
      <c r="H17" s="30"/>
      <c r="I17" s="458">
        <v>0.43282307497978689</v>
      </c>
      <c r="J17" s="30"/>
      <c r="K17" s="458">
        <v>0.98099999999999998</v>
      </c>
      <c r="L17" s="458"/>
      <c r="M17" s="458">
        <v>0.94899999999999995</v>
      </c>
      <c r="N17" s="30"/>
      <c r="O17" s="30">
        <f t="shared" si="1"/>
        <v>1.014</v>
      </c>
      <c r="P17" s="30"/>
      <c r="Q17" s="30" t="s">
        <v>32</v>
      </c>
      <c r="R17" s="30"/>
      <c r="S17" s="30">
        <f t="shared" si="0"/>
        <v>1.1271085194582768</v>
      </c>
      <c r="T17" s="54"/>
    </row>
    <row r="18" spans="1:20" ht="16.149999999999999" customHeight="1">
      <c r="A18" s="188">
        <f>+'Exhibit 4.1'!B16</f>
        <v>1994</v>
      </c>
      <c r="B18" s="30"/>
      <c r="C18" s="30">
        <f>SUMIFS('Exhibit 5.1'!E:E,'Exhibit 5.1'!A:A,$A18)</f>
        <v>2.5092429255597497</v>
      </c>
      <c r="D18" s="30"/>
      <c r="E18" s="30" t="s">
        <v>32</v>
      </c>
      <c r="F18" s="30"/>
      <c r="G18" s="30" t="s">
        <v>32</v>
      </c>
      <c r="H18" s="30"/>
      <c r="I18" s="458">
        <v>0.49519086368218296</v>
      </c>
      <c r="J18" s="30"/>
      <c r="K18" s="458">
        <v>0.98599999999999999</v>
      </c>
      <c r="L18" s="458"/>
      <c r="M18" s="458">
        <v>0.94799999999999995</v>
      </c>
      <c r="N18" s="30"/>
      <c r="O18" s="30">
        <f t="shared" si="1"/>
        <v>1.014</v>
      </c>
      <c r="P18" s="30"/>
      <c r="Q18" s="30" t="s">
        <v>32</v>
      </c>
      <c r="R18" s="30"/>
      <c r="S18" s="30">
        <f t="shared" si="0"/>
        <v>1.274517944031857</v>
      </c>
      <c r="T18" s="54"/>
    </row>
    <row r="19" spans="1:20" ht="16.149999999999999" customHeight="1">
      <c r="A19" s="188">
        <f>+'Exhibit 4.1'!B17</f>
        <v>1995</v>
      </c>
      <c r="B19" s="30"/>
      <c r="C19" s="30">
        <f>SUMIFS('Exhibit 5.1'!E:E,'Exhibit 5.1'!A:A,$A19)</f>
        <v>2.4385256808160833</v>
      </c>
      <c r="D19" s="30"/>
      <c r="E19" s="30" t="s">
        <v>32</v>
      </c>
      <c r="F19" s="30"/>
      <c r="G19" s="30" t="s">
        <v>32</v>
      </c>
      <c r="H19" s="30"/>
      <c r="I19" s="458">
        <v>0.67014048281502037</v>
      </c>
      <c r="J19" s="30"/>
      <c r="K19" s="458">
        <v>0.995</v>
      </c>
      <c r="L19" s="458"/>
      <c r="M19" s="458">
        <v>0.95799999999999996</v>
      </c>
      <c r="N19" s="30"/>
      <c r="O19" s="30">
        <f t="shared" si="1"/>
        <v>1.014</v>
      </c>
      <c r="P19" s="30"/>
      <c r="Q19" s="30" t="s">
        <v>32</v>
      </c>
      <c r="R19" s="30"/>
      <c r="S19" s="30">
        <f t="shared" si="0"/>
        <v>1.6738356157978509</v>
      </c>
      <c r="T19" s="54"/>
    </row>
    <row r="20" spans="1:20" ht="16.149999999999999" customHeight="1">
      <c r="A20" s="188">
        <f>+'Exhibit 4.1'!B18</f>
        <v>1996</v>
      </c>
      <c r="B20" s="30"/>
      <c r="C20" s="30">
        <f>SUMIFS('Exhibit 5.1'!E:E,'Exhibit 5.1'!A:A,$A20)</f>
        <v>2.3583420510793842</v>
      </c>
      <c r="D20" s="30"/>
      <c r="E20" s="458">
        <v>1.0229999999999999</v>
      </c>
      <c r="F20" s="458"/>
      <c r="G20" s="458">
        <v>0.71196912935192158</v>
      </c>
      <c r="H20" s="30"/>
      <c r="I20" s="30">
        <f>G20/E20</f>
        <v>0.69596200327656077</v>
      </c>
      <c r="J20" s="30"/>
      <c r="K20" s="458">
        <v>1</v>
      </c>
      <c r="L20" s="458"/>
      <c r="M20" s="458">
        <v>0.93500000000000005</v>
      </c>
      <c r="N20" s="30"/>
      <c r="O20" s="30">
        <f t="shared" si="1"/>
        <v>1.014</v>
      </c>
      <c r="P20" s="30"/>
      <c r="Q20" s="30" t="s">
        <v>32</v>
      </c>
      <c r="R20" s="30"/>
      <c r="S20" s="30">
        <f t="shared" si="0"/>
        <v>1.7311821222463704</v>
      </c>
      <c r="T20" s="54"/>
    </row>
    <row r="21" spans="1:20" ht="16.149999999999999" customHeight="1">
      <c r="A21" s="188">
        <f>+'Exhibit 4.1'!B19</f>
        <v>1997</v>
      </c>
      <c r="B21" s="30"/>
      <c r="C21" s="30">
        <f>SUMIFS('Exhibit 5.1'!E:E,'Exhibit 5.1'!A:A,$A21)</f>
        <v>2.2524756934855628</v>
      </c>
      <c r="D21" s="30"/>
      <c r="E21" s="458">
        <v>0.98899999999999999</v>
      </c>
      <c r="F21" s="458"/>
      <c r="G21" s="458">
        <v>0.71029889111642963</v>
      </c>
      <c r="H21" s="30"/>
      <c r="I21" s="30">
        <f t="shared" ref="I21:I41" si="2">G21/E21</f>
        <v>0.71819908100751229</v>
      </c>
      <c r="J21" s="30"/>
      <c r="K21" s="458">
        <v>1</v>
      </c>
      <c r="L21" s="458"/>
      <c r="M21" s="458">
        <v>0.94899999999999995</v>
      </c>
      <c r="N21" s="30"/>
      <c r="O21" s="30">
        <f t="shared" si="1"/>
        <v>1.014</v>
      </c>
      <c r="P21" s="30"/>
      <c r="Q21" s="30" t="s">
        <v>32</v>
      </c>
      <c r="R21" s="30"/>
      <c r="S21" s="30">
        <f t="shared" si="0"/>
        <v>1.6811280357950653</v>
      </c>
      <c r="T21" s="54"/>
    </row>
    <row r="22" spans="1:20" ht="16.149999999999999" customHeight="1">
      <c r="A22" s="188">
        <f>+'Exhibit 4.1'!B20</f>
        <v>1998</v>
      </c>
      <c r="B22" s="30"/>
      <c r="C22" s="30">
        <f>SUMIFS('Exhibit 5.1'!E:E,'Exhibit 5.1'!A:A,$A22)</f>
        <v>2.1411365907657438</v>
      </c>
      <c r="D22" s="30"/>
      <c r="E22" s="458">
        <v>0.96499999999999997</v>
      </c>
      <c r="F22" s="458"/>
      <c r="G22" s="458">
        <v>0.73986856927939704</v>
      </c>
      <c r="H22" s="30"/>
      <c r="I22" s="30">
        <f t="shared" si="2"/>
        <v>0.76670318060041143</v>
      </c>
      <c r="J22" s="30"/>
      <c r="K22" s="458">
        <v>1</v>
      </c>
      <c r="L22" s="458"/>
      <c r="M22" s="458">
        <v>0.95899999999999996</v>
      </c>
      <c r="N22" s="30"/>
      <c r="O22" s="30">
        <f t="shared" si="1"/>
        <v>1.014</v>
      </c>
      <c r="P22" s="30"/>
      <c r="Q22" s="30" t="s">
        <v>32</v>
      </c>
      <c r="R22" s="30"/>
      <c r="S22" s="30">
        <f t="shared" si="0"/>
        <v>1.6881657156842962</v>
      </c>
      <c r="T22" s="54"/>
    </row>
    <row r="23" spans="1:20" ht="16.149999999999999" customHeight="1">
      <c r="A23" s="188">
        <f>+'Exhibit 4.1'!B21</f>
        <v>1999</v>
      </c>
      <c r="B23" s="30"/>
      <c r="C23" s="30">
        <f>SUMIFS('Exhibit 5.1'!E:E,'Exhibit 5.1'!A:A,$A23)</f>
        <v>2.0161361494969339</v>
      </c>
      <c r="D23" s="30"/>
      <c r="E23" s="458">
        <v>0.97199999999999998</v>
      </c>
      <c r="F23" s="458"/>
      <c r="G23" s="458">
        <v>0.74780541952676505</v>
      </c>
      <c r="H23" s="30"/>
      <c r="I23" s="30">
        <f t="shared" si="2"/>
        <v>0.76934713943082822</v>
      </c>
      <c r="J23" s="30"/>
      <c r="K23" s="458">
        <v>1</v>
      </c>
      <c r="L23" s="458"/>
      <c r="M23" s="458">
        <v>0.95399999999999996</v>
      </c>
      <c r="N23" s="30"/>
      <c r="O23" s="30">
        <f t="shared" si="1"/>
        <v>1.014</v>
      </c>
      <c r="P23" s="30"/>
      <c r="Q23" s="30" t="s">
        <v>32</v>
      </c>
      <c r="R23" s="30"/>
      <c r="S23" s="30">
        <f t="shared" si="0"/>
        <v>1.6034516551492426</v>
      </c>
      <c r="T23" s="54"/>
    </row>
    <row r="24" spans="1:20" ht="16.149999999999999" customHeight="1">
      <c r="A24" s="188">
        <f>+'Exhibit 4.1'!B22</f>
        <v>2000</v>
      </c>
      <c r="B24" s="30"/>
      <c r="C24" s="30">
        <f>SUMIFS('Exhibit 5.1'!E:E,'Exhibit 5.1'!A:A,$A24)</f>
        <v>1.8496661921990218</v>
      </c>
      <c r="D24" s="30"/>
      <c r="E24" s="458">
        <v>1.0049999999999999</v>
      </c>
      <c r="F24" s="458"/>
      <c r="G24" s="458">
        <v>0.67809158711873951</v>
      </c>
      <c r="H24" s="30"/>
      <c r="I24" s="30">
        <f t="shared" si="2"/>
        <v>0.67471799713307423</v>
      </c>
      <c r="J24" s="30"/>
      <c r="K24" s="458">
        <v>1</v>
      </c>
      <c r="L24" s="458"/>
      <c r="M24" s="458">
        <v>0.97</v>
      </c>
      <c r="N24" s="30"/>
      <c r="O24" s="30">
        <f t="shared" si="1"/>
        <v>1.014</v>
      </c>
      <c r="P24" s="30"/>
      <c r="Q24" s="30" t="s">
        <v>32</v>
      </c>
      <c r="R24" s="30"/>
      <c r="S24" s="30">
        <f t="shared" si="0"/>
        <v>1.2688373783172531</v>
      </c>
      <c r="T24" s="54"/>
    </row>
    <row r="25" spans="1:20" ht="16.149999999999999" customHeight="1">
      <c r="A25" s="188">
        <f>+'Exhibit 4.1'!B23</f>
        <v>2001</v>
      </c>
      <c r="B25" s="72"/>
      <c r="C25" s="30">
        <f>SUMIFS('Exhibit 5.1'!E:E,'Exhibit 5.1'!A:A,$A25)</f>
        <v>1.8386343858837195</v>
      </c>
      <c r="D25" s="30"/>
      <c r="E25" s="458">
        <v>1.03</v>
      </c>
      <c r="F25" s="458"/>
      <c r="G25" s="458">
        <v>0.59716774874320433</v>
      </c>
      <c r="H25" s="30"/>
      <c r="I25" s="30">
        <f t="shared" si="2"/>
        <v>0.57977451334291685</v>
      </c>
      <c r="J25" s="30"/>
      <c r="K25" s="458">
        <v>1</v>
      </c>
      <c r="L25" s="458"/>
      <c r="M25" s="458">
        <v>0.96899999999999997</v>
      </c>
      <c r="N25" s="30"/>
      <c r="O25" s="30">
        <f t="shared" si="1"/>
        <v>1.014</v>
      </c>
      <c r="P25" s="30"/>
      <c r="Q25" s="30" t="s">
        <v>32</v>
      </c>
      <c r="R25" s="30"/>
      <c r="S25" s="30">
        <f t="shared" si="0"/>
        <v>1.0849076360176175</v>
      </c>
      <c r="T25" s="73"/>
    </row>
    <row r="26" spans="1:20" ht="16.149999999999999" customHeight="1">
      <c r="A26" s="188">
        <f>+'Exhibit 4.1'!B24</f>
        <v>2002</v>
      </c>
      <c r="B26" s="72"/>
      <c r="C26" s="30">
        <f>SUMIFS('Exhibit 5.1'!E:E,'Exhibit 5.1'!A:A,$A26)</f>
        <v>1.818629461803877</v>
      </c>
      <c r="D26" s="30"/>
      <c r="E26" s="458">
        <v>1.157</v>
      </c>
      <c r="F26" s="458"/>
      <c r="G26" s="458">
        <v>0.53446929821299871</v>
      </c>
      <c r="H26" s="30"/>
      <c r="I26" s="30">
        <f t="shared" si="2"/>
        <v>0.46194407797147685</v>
      </c>
      <c r="J26" s="30"/>
      <c r="K26" s="458">
        <v>1</v>
      </c>
      <c r="L26" s="458"/>
      <c r="M26" s="458">
        <v>0.99099999999999999</v>
      </c>
      <c r="N26" s="30"/>
      <c r="O26" s="30">
        <f t="shared" si="1"/>
        <v>1.014</v>
      </c>
      <c r="P26" s="30"/>
      <c r="Q26" s="30" t="s">
        <v>32</v>
      </c>
      <c r="R26" s="30"/>
      <c r="S26" s="30">
        <f t="shared" si="0"/>
        <v>0.83603029823117636</v>
      </c>
      <c r="T26" s="73"/>
    </row>
    <row r="27" spans="1:20" ht="16.149999999999999" customHeight="1">
      <c r="A27" s="188">
        <f>+'Exhibit 4.1'!B25</f>
        <v>2003</v>
      </c>
      <c r="B27" s="72"/>
      <c r="C27" s="30">
        <f>SUMIFS('Exhibit 5.1'!E:E,'Exhibit 5.1'!A:A,$A27)</f>
        <v>1.7554338434400356</v>
      </c>
      <c r="D27" s="30"/>
      <c r="E27" s="458">
        <v>1.266</v>
      </c>
      <c r="F27" s="458"/>
      <c r="G27" s="458">
        <v>0.43747739573165156</v>
      </c>
      <c r="H27" s="30"/>
      <c r="I27" s="30">
        <f t="shared" si="2"/>
        <v>0.34555876440098859</v>
      </c>
      <c r="J27" s="30"/>
      <c r="K27" s="458">
        <v>1</v>
      </c>
      <c r="L27" s="458"/>
      <c r="M27" s="458">
        <v>1.0049999999999999</v>
      </c>
      <c r="N27" s="30"/>
      <c r="O27" s="30">
        <f t="shared" si="1"/>
        <v>1.014</v>
      </c>
      <c r="P27" s="30"/>
      <c r="Q27" s="30" t="s">
        <v>32</v>
      </c>
      <c r="R27" s="30"/>
      <c r="S27" s="30">
        <f t="shared" si="0"/>
        <v>0.59525405509613394</v>
      </c>
      <c r="T27" s="73"/>
    </row>
    <row r="28" spans="1:20" ht="16.149999999999999" customHeight="1">
      <c r="A28" s="188">
        <f>+'Exhibit 4.1'!B26</f>
        <v>2004</v>
      </c>
      <c r="B28" s="72"/>
      <c r="C28" s="30">
        <f>SUMIFS('Exhibit 5.1'!E:E,'Exhibit 5.1'!A:A,$A28)</f>
        <v>1.6718417556571767</v>
      </c>
      <c r="D28" s="30"/>
      <c r="E28" s="458">
        <v>1.397</v>
      </c>
      <c r="F28" s="458"/>
      <c r="G28" s="458">
        <v>0.44495132811092342</v>
      </c>
      <c r="H28" s="30"/>
      <c r="I28" s="30">
        <f t="shared" si="2"/>
        <v>0.31850488769572183</v>
      </c>
      <c r="J28" s="30"/>
      <c r="K28" s="458">
        <v>1</v>
      </c>
      <c r="L28" s="458"/>
      <c r="M28" s="458">
        <v>0.98099999999999998</v>
      </c>
      <c r="N28" s="30"/>
      <c r="O28" s="30">
        <f t="shared" si="1"/>
        <v>1.014</v>
      </c>
      <c r="P28" s="30"/>
      <c r="Q28" s="30" t="s">
        <v>32</v>
      </c>
      <c r="R28" s="30"/>
      <c r="S28" s="30">
        <f t="shared" si="0"/>
        <v>0.53530870627786675</v>
      </c>
      <c r="T28" s="73"/>
    </row>
    <row r="29" spans="1:20" ht="16.149999999999999" customHeight="1">
      <c r="A29" s="188">
        <f>+'Exhibit 4.1'!B27</f>
        <v>2005</v>
      </c>
      <c r="B29" s="72"/>
      <c r="C29" s="30">
        <f>SUMIFS('Exhibit 5.1'!E:E,'Exhibit 5.1'!A:A,$A29)</f>
        <v>1.6200017012181944</v>
      </c>
      <c r="D29" s="30"/>
      <c r="E29" s="458">
        <v>1.4700402845926159</v>
      </c>
      <c r="F29" s="458"/>
      <c r="G29" s="458">
        <v>0.53537496244496685</v>
      </c>
      <c r="H29" s="30"/>
      <c r="I29" s="30">
        <f t="shared" si="2"/>
        <v>0.36419067426667995</v>
      </c>
      <c r="J29" s="30"/>
      <c r="K29" s="458">
        <v>1</v>
      </c>
      <c r="L29" s="458"/>
      <c r="M29" s="458">
        <v>0.98199999999999998</v>
      </c>
      <c r="N29" s="30"/>
      <c r="O29" s="30">
        <f t="shared" si="1"/>
        <v>1.014</v>
      </c>
      <c r="P29" s="30"/>
      <c r="Q29" s="30" t="s">
        <v>32</v>
      </c>
      <c r="R29" s="30"/>
      <c r="S29" s="30">
        <f t="shared" si="0"/>
        <v>0.59250885955063215</v>
      </c>
      <c r="T29" s="73"/>
    </row>
    <row r="30" spans="1:20" ht="16.149999999999999" customHeight="1">
      <c r="A30" s="188">
        <f>+'Exhibit 4.1'!B28</f>
        <v>2006</v>
      </c>
      <c r="B30" s="72"/>
      <c r="C30" s="30">
        <f>SUMIFS('Exhibit 5.1'!E:E,'Exhibit 5.1'!A:A,$A30)</f>
        <v>1.5487587965757117</v>
      </c>
      <c r="D30" s="72"/>
      <c r="E30" s="458">
        <v>1.4464597097202976</v>
      </c>
      <c r="F30" s="458"/>
      <c r="G30" s="458">
        <v>0.68984498098073355</v>
      </c>
      <c r="H30" s="72"/>
      <c r="I30" s="30">
        <f t="shared" si="2"/>
        <v>0.47691959640834319</v>
      </c>
      <c r="J30" s="72"/>
      <c r="K30" s="458">
        <v>1</v>
      </c>
      <c r="L30" s="459"/>
      <c r="M30" s="458">
        <v>0.95599999999999996</v>
      </c>
      <c r="N30" s="72"/>
      <c r="O30" s="30">
        <f t="shared" si="1"/>
        <v>1.014</v>
      </c>
      <c r="P30" s="30"/>
      <c r="Q30" s="30" t="s">
        <v>32</v>
      </c>
      <c r="R30" s="72"/>
      <c r="S30" s="30">
        <f t="shared" si="0"/>
        <v>0.76196163769647496</v>
      </c>
      <c r="T30" s="73"/>
    </row>
    <row r="31" spans="1:20" ht="16.149999999999999" customHeight="1">
      <c r="A31" s="188">
        <f>+'Exhibit 4.1'!B29</f>
        <v>2007</v>
      </c>
      <c r="B31" s="72"/>
      <c r="C31" s="30">
        <f>SUMIFS('Exhibit 5.1'!E:E,'Exhibit 5.1'!A:A,$A31)</f>
        <v>1.4820658340437434</v>
      </c>
      <c r="D31" s="72"/>
      <c r="E31" s="458">
        <v>1.4922810283559429</v>
      </c>
      <c r="F31" s="458"/>
      <c r="G31" s="458">
        <v>0.93988168648631265</v>
      </c>
      <c r="H31" s="72"/>
      <c r="I31" s="30">
        <f t="shared" si="2"/>
        <v>0.62982887849334068</v>
      </c>
      <c r="J31" s="72"/>
      <c r="K31" s="458">
        <v>1</v>
      </c>
      <c r="L31" s="459"/>
      <c r="M31" s="458">
        <v>0.93100000000000005</v>
      </c>
      <c r="N31" s="72"/>
      <c r="O31" s="30">
        <f t="shared" si="1"/>
        <v>1.014</v>
      </c>
      <c r="P31" s="30"/>
      <c r="Q31" s="458">
        <v>0.98499999999999999</v>
      </c>
      <c r="R31" s="72"/>
      <c r="S31" s="30">
        <f>(C31*I31*K31*Q31)/(M31*O31)</f>
        <v>0.97395448064098578</v>
      </c>
      <c r="T31" s="73"/>
    </row>
    <row r="32" spans="1:20" ht="16.149999999999999" customHeight="1">
      <c r="A32" s="188">
        <f>+'Exhibit 4.1'!B30</f>
        <v>2008</v>
      </c>
      <c r="B32" s="72"/>
      <c r="C32" s="30">
        <f>SUMIFS('Exhibit 5.1'!E:E,'Exhibit 5.1'!A:A,$A32)</f>
        <v>1.4515825994551845</v>
      </c>
      <c r="D32" s="72"/>
      <c r="E32" s="458">
        <v>1.4255010805037898</v>
      </c>
      <c r="F32" s="458"/>
      <c r="G32" s="458">
        <v>1.1185915099948238</v>
      </c>
      <c r="H32" s="72"/>
      <c r="I32" s="30">
        <f t="shared" si="2"/>
        <v>0.78470056971089752</v>
      </c>
      <c r="J32" s="72"/>
      <c r="K32" s="458">
        <v>1</v>
      </c>
      <c r="L32" s="459"/>
      <c r="M32" s="458">
        <v>0.94599999999999995</v>
      </c>
      <c r="N32" s="72"/>
      <c r="O32" s="30">
        <f t="shared" si="1"/>
        <v>1.014</v>
      </c>
      <c r="P32" s="30"/>
      <c r="Q32" s="458">
        <v>0.99099999999999999</v>
      </c>
      <c r="R32" s="72"/>
      <c r="S32" s="30">
        <f>(C32*I32*K32*Q32)/(M32*O32)</f>
        <v>1.1767664676974103</v>
      </c>
      <c r="T32" s="73"/>
    </row>
    <row r="33" spans="1:20" ht="16.149999999999999" customHeight="1">
      <c r="A33" s="188">
        <f>+'Exhibit 4.1'!B31</f>
        <v>2009</v>
      </c>
      <c r="B33" s="72"/>
      <c r="C33" s="30">
        <f>SUMIFS('Exhibit 5.1'!E:E,'Exhibit 5.1'!A:A,$A33)</f>
        <v>1.4443607954777957</v>
      </c>
      <c r="D33" s="72"/>
      <c r="E33" s="458">
        <v>1.3652352901595544</v>
      </c>
      <c r="F33" s="458"/>
      <c r="G33" s="458">
        <v>1.1024480671703509</v>
      </c>
      <c r="H33" s="72"/>
      <c r="I33" s="30">
        <f t="shared" si="2"/>
        <v>0.80751506726837419</v>
      </c>
      <c r="J33" s="72"/>
      <c r="K33" s="458">
        <v>1</v>
      </c>
      <c r="L33" s="459"/>
      <c r="M33" s="458">
        <v>0.93700000000000006</v>
      </c>
      <c r="N33" s="72"/>
      <c r="O33" s="30">
        <f t="shared" si="1"/>
        <v>1.014</v>
      </c>
      <c r="P33" s="30"/>
      <c r="Q33" s="458">
        <v>1.034</v>
      </c>
      <c r="R33" s="72"/>
      <c r="S33" s="30">
        <f>(C33*I33*K33*Q33)/(M33*O33)</f>
        <v>1.2693147277362777</v>
      </c>
      <c r="T33" s="73"/>
    </row>
    <row r="34" spans="1:20" ht="16.149999999999999" customHeight="1">
      <c r="A34" s="188">
        <f>+'Exhibit 4.1'!B32</f>
        <v>2010</v>
      </c>
      <c r="B34" s="72"/>
      <c r="C34" s="30">
        <f>SUMIFS('Exhibit 5.1'!E:E,'Exhibit 5.1'!A:A,$A34)</f>
        <v>1.4022920344444618</v>
      </c>
      <c r="D34" s="72"/>
      <c r="E34" s="458">
        <v>1.383177684716326</v>
      </c>
      <c r="F34" s="458"/>
      <c r="G34" s="458">
        <v>1.0806428508169834</v>
      </c>
      <c r="H34" s="72"/>
      <c r="I34" s="30">
        <f t="shared" si="2"/>
        <v>0.78127550983343907</v>
      </c>
      <c r="J34" s="72"/>
      <c r="K34" s="458">
        <v>1</v>
      </c>
      <c r="L34" s="459"/>
      <c r="M34" s="458">
        <v>0.94099999999999995</v>
      </c>
      <c r="N34" s="72"/>
      <c r="O34" s="30">
        <f t="shared" si="1"/>
        <v>1.014</v>
      </c>
      <c r="P34" s="30"/>
      <c r="Q34" s="458">
        <v>1.0049999999999999</v>
      </c>
      <c r="R34" s="72"/>
      <c r="S34" s="30">
        <f>(C34*I34*K34*Q34)/(M34*O34)</f>
        <v>1.1539345090797875</v>
      </c>
      <c r="T34" s="73"/>
    </row>
    <row r="35" spans="1:20" ht="16.149999999999999" customHeight="1">
      <c r="A35" s="188">
        <f>+'Exhibit 4.1'!B33</f>
        <v>2011</v>
      </c>
      <c r="B35" s="72"/>
      <c r="C35" s="30">
        <f>SUMIFS('Exhibit 5.1'!E:E,'Exhibit 5.1'!A:A,$A35)</f>
        <v>1.3614485771305453</v>
      </c>
      <c r="D35" s="72"/>
      <c r="E35" s="458">
        <v>1.4004038142172581</v>
      </c>
      <c r="F35" s="458"/>
      <c r="G35" s="458">
        <v>1.0796177421193709</v>
      </c>
      <c r="H35" s="72"/>
      <c r="I35" s="30">
        <f t="shared" si="2"/>
        <v>0.77093316310539506</v>
      </c>
      <c r="J35" s="72"/>
      <c r="K35" s="458">
        <v>1</v>
      </c>
      <c r="L35" s="459"/>
      <c r="M35" s="458">
        <v>0.98199999999999998</v>
      </c>
      <c r="N35" s="72"/>
      <c r="O35" s="30">
        <f t="shared" si="1"/>
        <v>1.014</v>
      </c>
      <c r="P35" s="30"/>
      <c r="Q35" s="45" t="s">
        <v>32</v>
      </c>
      <c r="R35" s="72"/>
      <c r="S35" s="30">
        <f t="shared" si="0"/>
        <v>1.054067754062866</v>
      </c>
      <c r="T35" s="73"/>
    </row>
    <row r="36" spans="1:20" ht="16.149999999999999" customHeight="1">
      <c r="A36" s="188">
        <f>+'Exhibit 4.1'!B34</f>
        <v>2012</v>
      </c>
      <c r="B36" s="72"/>
      <c r="C36" s="30">
        <f>SUMIFS('Exhibit 5.1'!E:E,'Exhibit 5.1'!A:A,$A36)</f>
        <v>1.3065725308354561</v>
      </c>
      <c r="D36" s="72"/>
      <c r="E36" s="458">
        <v>1.2220103948433501</v>
      </c>
      <c r="F36" s="458"/>
      <c r="G36" s="458">
        <v>0.88998004850528412</v>
      </c>
      <c r="H36" s="72"/>
      <c r="I36" s="30">
        <f t="shared" si="2"/>
        <v>0.72829171687968408</v>
      </c>
      <c r="J36" s="72"/>
      <c r="K36" s="458">
        <v>1</v>
      </c>
      <c r="L36" s="459"/>
      <c r="M36" s="458">
        <v>1</v>
      </c>
      <c r="N36" s="72"/>
      <c r="O36" s="30">
        <f t="shared" si="1"/>
        <v>1.014</v>
      </c>
      <c r="P36" s="30"/>
      <c r="Q36" s="30" t="s">
        <v>32</v>
      </c>
      <c r="R36" s="72"/>
      <c r="S36" s="30">
        <f t="shared" si="0"/>
        <v>0.93842796026626063</v>
      </c>
      <c r="T36" s="73"/>
    </row>
    <row r="37" spans="1:20" ht="16.149999999999999" customHeight="1">
      <c r="A37" s="188">
        <f>+'Exhibit 4.1'!B35</f>
        <v>2013</v>
      </c>
      <c r="B37" s="72"/>
      <c r="C37" s="30">
        <f>SUMIFS('Exhibit 5.1'!E:E,'Exhibit 5.1'!A:A,$A37)</f>
        <v>1.2974901001345147</v>
      </c>
      <c r="D37" s="72"/>
      <c r="E37" s="458">
        <v>1.137541698501076</v>
      </c>
      <c r="F37" s="458"/>
      <c r="G37" s="458">
        <v>0.71655836793911598</v>
      </c>
      <c r="H37" s="72"/>
      <c r="I37" s="30">
        <f t="shared" si="2"/>
        <v>0.62991833080344717</v>
      </c>
      <c r="J37" s="72"/>
      <c r="K37" s="458">
        <v>1</v>
      </c>
      <c r="L37" s="459"/>
      <c r="M37" s="458">
        <v>0.98299999999999998</v>
      </c>
      <c r="N37" s="72"/>
      <c r="O37" s="30">
        <f t="shared" si="1"/>
        <v>1.014</v>
      </c>
      <c r="P37" s="30"/>
      <c r="Q37" s="30" t="s">
        <v>32</v>
      </c>
      <c r="R37" s="72"/>
      <c r="S37" s="30">
        <f t="shared" si="0"/>
        <v>0.81996785402205441</v>
      </c>
      <c r="T37" s="73"/>
    </row>
    <row r="38" spans="1:20" ht="16.149999999999999" customHeight="1">
      <c r="A38" s="188">
        <f>+'Exhibit 4.1'!B36</f>
        <v>2014</v>
      </c>
      <c r="B38" s="72"/>
      <c r="C38" s="30">
        <f>SUMIFS('Exhibit 5.1'!E:E,'Exhibit 5.1'!A:A,$A38)</f>
        <v>1.2560407552125021</v>
      </c>
      <c r="D38" s="72"/>
      <c r="E38" s="458">
        <v>1.1262425777085046</v>
      </c>
      <c r="F38" s="458"/>
      <c r="G38" s="458">
        <v>0.66018074422770545</v>
      </c>
      <c r="H38" s="72"/>
      <c r="I38" s="30">
        <f t="shared" si="2"/>
        <v>0.5861798845954963</v>
      </c>
      <c r="J38" s="72"/>
      <c r="K38" s="458">
        <v>1</v>
      </c>
      <c r="L38" s="459"/>
      <c r="M38" s="458">
        <v>0.96099999999999997</v>
      </c>
      <c r="N38" s="72"/>
      <c r="O38" s="30">
        <f t="shared" si="1"/>
        <v>1.014</v>
      </c>
      <c r="P38" s="30"/>
      <c r="Q38" s="30" t="s">
        <v>32</v>
      </c>
      <c r="R38" s="72"/>
      <c r="S38" s="30">
        <f t="shared" si="0"/>
        <v>0.75556755366359474</v>
      </c>
      <c r="T38" s="73"/>
    </row>
    <row r="39" spans="1:20" ht="16.149999999999999" customHeight="1">
      <c r="A39" s="188">
        <f>+'Exhibit 4.1'!B37</f>
        <v>2015</v>
      </c>
      <c r="B39" s="72"/>
      <c r="C39" s="30">
        <f>SUMIFS('Exhibit 5.1'!E:E,'Exhibit 5.1'!A:A,$A39)</f>
        <v>1.2031041716594848</v>
      </c>
      <c r="D39" s="72"/>
      <c r="E39" s="458">
        <v>1.108710054842371</v>
      </c>
      <c r="F39" s="458"/>
      <c r="G39" s="458">
        <v>0.6414747550821307</v>
      </c>
      <c r="H39" s="72"/>
      <c r="I39" s="30">
        <f t="shared" si="2"/>
        <v>0.57857755711733971</v>
      </c>
      <c r="J39" s="72"/>
      <c r="K39" s="458">
        <v>1</v>
      </c>
      <c r="L39" s="459"/>
      <c r="M39" s="458">
        <v>0.95099999999999996</v>
      </c>
      <c r="N39" s="72"/>
      <c r="O39" s="30">
        <f t="shared" si="1"/>
        <v>1.014</v>
      </c>
      <c r="P39" s="30"/>
      <c r="Q39" s="30" t="s">
        <v>32</v>
      </c>
      <c r="R39" s="72"/>
      <c r="S39" s="30">
        <f>(C39*I39*K39)/(M39*O39)</f>
        <v>0.72184897512265223</v>
      </c>
      <c r="T39" s="73"/>
    </row>
    <row r="40" spans="1:20" ht="16.149999999999999" customHeight="1">
      <c r="A40" s="188">
        <f>+'Exhibit 4.1'!B38</f>
        <v>2016</v>
      </c>
      <c r="B40" s="72"/>
      <c r="C40" s="30">
        <f>SUMIFS('Exhibit 5.1'!E:E,'Exhibit 5.1'!A:A,$A40)</f>
        <v>1.1818312098816157</v>
      </c>
      <c r="D40" s="72"/>
      <c r="E40" s="458">
        <v>1.1479547194625559</v>
      </c>
      <c r="F40" s="458"/>
      <c r="G40" s="458">
        <v>0.69796370755364867</v>
      </c>
      <c r="H40" s="72"/>
      <c r="I40" s="30">
        <f t="shared" si="2"/>
        <v>0.60800630523163668</v>
      </c>
      <c r="J40" s="72"/>
      <c r="K40" s="458">
        <v>1</v>
      </c>
      <c r="L40" s="459"/>
      <c r="M40" s="458">
        <v>0.94899999999999995</v>
      </c>
      <c r="N40" s="72"/>
      <c r="O40" s="30">
        <f t="shared" si="1"/>
        <v>1.014</v>
      </c>
      <c r="P40" s="30"/>
      <c r="Q40" s="30" t="s">
        <v>32</v>
      </c>
      <c r="R40" s="72"/>
      <c r="S40" s="30">
        <f>(C40*I40*K40)/(M40*O40)</f>
        <v>0.74672272830276665</v>
      </c>
      <c r="T40" s="325"/>
    </row>
    <row r="41" spans="1:20" s="223" customFormat="1" ht="16.149999999999999" customHeight="1">
      <c r="A41" s="225">
        <f>+'Exhibit 4.1'!B39</f>
        <v>2017</v>
      </c>
      <c r="B41" s="72"/>
      <c r="C41" s="30">
        <f>SUMIFS('Exhibit 5.1'!E:E,'Exhibit 5.1'!A:A,$A41)</f>
        <v>1.1341950190802454</v>
      </c>
      <c r="D41" s="72"/>
      <c r="E41" s="458">
        <v>1.1561680583207214</v>
      </c>
      <c r="F41" s="458"/>
      <c r="G41" s="458">
        <v>0.77281713515645767</v>
      </c>
      <c r="H41" s="72"/>
      <c r="I41" s="30">
        <f t="shared" si="2"/>
        <v>0.66842975776284408</v>
      </c>
      <c r="J41" s="72"/>
      <c r="K41" s="458">
        <v>1</v>
      </c>
      <c r="L41" s="459"/>
      <c r="M41" s="458">
        <v>0.95499999999999996</v>
      </c>
      <c r="N41" s="72"/>
      <c r="O41" s="30">
        <f t="shared" si="1"/>
        <v>1.014</v>
      </c>
      <c r="P41" s="30"/>
      <c r="Q41" s="30" t="s">
        <v>32</v>
      </c>
      <c r="R41" s="72"/>
      <c r="S41" s="30">
        <f>(C41*I41*K41)/(M41*O41)</f>
        <v>0.78289259462770722</v>
      </c>
      <c r="T41" s="73"/>
    </row>
    <row r="42" spans="1:20" s="319" customFormat="1" ht="16.149999999999999" customHeight="1">
      <c r="A42" s="286">
        <f>+'Exhibit 4.1'!B40</f>
        <v>2018</v>
      </c>
      <c r="B42" s="72"/>
      <c r="C42" s="30">
        <f>SUMIFS('Exhibit 5.1'!E:E,'Exhibit 5.1'!A:A,$A42)</f>
        <v>1.0895245140059995</v>
      </c>
      <c r="D42" s="72"/>
      <c r="E42" s="458">
        <v>1.1959508985956304</v>
      </c>
      <c r="F42" s="458"/>
      <c r="G42" s="458">
        <v>0.8736255654959727</v>
      </c>
      <c r="H42" s="72"/>
      <c r="I42" s="30">
        <f t="shared" ref="I42:I43" si="3">G42/E42</f>
        <v>0.73048614832084258</v>
      </c>
      <c r="J42" s="72"/>
      <c r="K42" s="458">
        <v>1</v>
      </c>
      <c r="L42" s="459"/>
      <c r="M42" s="458">
        <v>0.95599999999999996</v>
      </c>
      <c r="N42" s="72"/>
      <c r="O42" s="30">
        <f t="shared" si="1"/>
        <v>1.014</v>
      </c>
      <c r="P42" s="30"/>
      <c r="Q42" s="30" t="s">
        <v>32</v>
      </c>
      <c r="R42" s="72"/>
      <c r="S42" s="30">
        <f t="shared" ref="S42:S43" si="4">(C42*I42*K42)/(M42*O42)</f>
        <v>0.82101887976011623</v>
      </c>
      <c r="T42" s="73"/>
    </row>
    <row r="43" spans="1:20" s="331" customFormat="1" ht="16.149999999999999" customHeight="1">
      <c r="A43" s="286">
        <f>+'Exhibit 4.1'!B41</f>
        <v>2019</v>
      </c>
      <c r="B43" s="72"/>
      <c r="C43" s="30">
        <f>SUMIFS('Exhibit 5.1'!E:E,'Exhibit 5.1'!A:A,$A43)</f>
        <v>1.0466133659999997</v>
      </c>
      <c r="D43" s="72"/>
      <c r="E43" s="458">
        <v>1.2147150866873944</v>
      </c>
      <c r="F43" s="458"/>
      <c r="G43" s="458">
        <v>1.0152853060257541</v>
      </c>
      <c r="H43" s="72"/>
      <c r="I43" s="30">
        <f t="shared" si="3"/>
        <v>0.83582176359931604</v>
      </c>
      <c r="J43" s="72"/>
      <c r="K43" s="458">
        <v>1</v>
      </c>
      <c r="L43" s="459"/>
      <c r="M43" s="458">
        <v>0.94899999999999995</v>
      </c>
      <c r="N43" s="72"/>
      <c r="O43" s="30">
        <f t="shared" si="1"/>
        <v>1.014</v>
      </c>
      <c r="P43" s="30"/>
      <c r="Q43" s="30" t="s">
        <v>32</v>
      </c>
      <c r="R43" s="72"/>
      <c r="S43" s="30">
        <f t="shared" si="4"/>
        <v>0.90906677367927635</v>
      </c>
      <c r="T43" s="73"/>
    </row>
    <row r="44" spans="1:20" ht="16.149999999999999" customHeight="1">
      <c r="A44" s="188"/>
      <c r="B44" s="188"/>
      <c r="C44" s="31"/>
      <c r="D44" s="31"/>
      <c r="E44" s="31"/>
      <c r="F44" s="31"/>
      <c r="G44" s="31"/>
      <c r="H44" s="31"/>
      <c r="I44" s="42"/>
      <c r="J44" s="31"/>
      <c r="K44" s="31"/>
      <c r="L44" s="31"/>
      <c r="M44" s="31"/>
      <c r="N44" s="31"/>
      <c r="O44" s="31"/>
      <c r="P44" s="31"/>
      <c r="Q44" s="31"/>
      <c r="R44" s="31"/>
      <c r="S44" s="31"/>
    </row>
    <row r="45" spans="1:20" ht="16.149999999999999" customHeight="1">
      <c r="A45" s="31" t="s">
        <v>22</v>
      </c>
      <c r="B45" s="51" t="s">
        <v>163</v>
      </c>
      <c r="C45" s="188"/>
      <c r="D45" s="188"/>
      <c r="E45" s="188"/>
      <c r="F45" s="188"/>
      <c r="G45" s="188"/>
      <c r="H45" s="188"/>
      <c r="I45" s="39"/>
      <c r="J45" s="188"/>
      <c r="K45" s="188"/>
      <c r="L45" s="188"/>
      <c r="M45" s="188"/>
      <c r="N45" s="188"/>
      <c r="O45" s="188"/>
      <c r="P45" s="188"/>
      <c r="Q45" s="188"/>
      <c r="R45" s="188"/>
      <c r="S45" s="188"/>
    </row>
    <row r="46" spans="1:20" ht="16.149999999999999" customHeight="1">
      <c r="A46" s="31" t="s">
        <v>28</v>
      </c>
      <c r="B46" s="535" t="s">
        <v>164</v>
      </c>
      <c r="C46" s="535"/>
      <c r="D46" s="535"/>
      <c r="E46" s="535"/>
      <c r="F46" s="535"/>
      <c r="G46" s="535"/>
      <c r="H46" s="535"/>
      <c r="I46" s="535"/>
      <c r="J46" s="535"/>
      <c r="K46" s="535"/>
      <c r="L46" s="535"/>
      <c r="M46" s="535"/>
      <c r="N46" s="535"/>
      <c r="O46" s="535"/>
      <c r="P46" s="535"/>
      <c r="Q46" s="535"/>
      <c r="R46" s="535"/>
      <c r="S46" s="535"/>
    </row>
    <row r="47" spans="1:20" ht="16.149999999999999" customHeight="1">
      <c r="A47" s="31"/>
      <c r="B47" s="535" t="s">
        <v>165</v>
      </c>
      <c r="C47" s="535"/>
      <c r="D47" s="535"/>
      <c r="E47" s="535"/>
      <c r="F47" s="535"/>
      <c r="G47" s="535"/>
      <c r="H47" s="535"/>
      <c r="I47" s="535"/>
      <c r="J47" s="535"/>
      <c r="K47" s="535"/>
      <c r="L47" s="535"/>
      <c r="M47" s="535"/>
      <c r="N47" s="535"/>
      <c r="O47" s="535"/>
      <c r="P47" s="535"/>
      <c r="Q47" s="535"/>
      <c r="R47" s="535"/>
      <c r="S47" s="535"/>
    </row>
    <row r="48" spans="1:20" ht="16.149999999999999" customHeight="1">
      <c r="A48" s="31" t="s">
        <v>38</v>
      </c>
      <c r="B48" s="556" t="s">
        <v>528</v>
      </c>
      <c r="C48" s="556"/>
      <c r="D48" s="556"/>
      <c r="E48" s="556"/>
      <c r="F48" s="556"/>
      <c r="G48" s="556"/>
      <c r="H48" s="556"/>
      <c r="I48" s="556"/>
      <c r="J48" s="556"/>
      <c r="K48" s="556"/>
      <c r="L48" s="556"/>
      <c r="M48" s="556"/>
      <c r="N48" s="556"/>
      <c r="O48" s="556"/>
      <c r="P48" s="556"/>
      <c r="Q48" s="556"/>
      <c r="R48" s="556"/>
      <c r="S48" s="556"/>
    </row>
    <row r="49" spans="1:19" ht="16.149999999999999" customHeight="1">
      <c r="A49" s="31"/>
      <c r="B49" s="74" t="s">
        <v>529</v>
      </c>
      <c r="C49" s="191"/>
      <c r="D49" s="191"/>
      <c r="E49" s="191"/>
      <c r="F49" s="191"/>
      <c r="G49" s="191"/>
      <c r="H49" s="191"/>
      <c r="I49" s="191"/>
      <c r="J49" s="191"/>
      <c r="K49" s="191"/>
      <c r="L49" s="191"/>
      <c r="M49" s="191"/>
      <c r="N49" s="191"/>
      <c r="O49" s="191"/>
      <c r="P49" s="191"/>
      <c r="Q49" s="191"/>
      <c r="R49" s="191"/>
      <c r="S49" s="191"/>
    </row>
    <row r="50" spans="1:19" ht="16.149999999999999" customHeight="1">
      <c r="A50" s="31"/>
      <c r="B50" s="556" t="s">
        <v>530</v>
      </c>
      <c r="C50" s="556"/>
      <c r="D50" s="556"/>
      <c r="E50" s="556"/>
      <c r="F50" s="556"/>
      <c r="G50" s="556"/>
      <c r="H50" s="556"/>
      <c r="I50" s="556"/>
      <c r="J50" s="556"/>
      <c r="K50" s="556"/>
      <c r="L50" s="556"/>
      <c r="M50" s="556"/>
      <c r="N50" s="556"/>
      <c r="O50" s="556"/>
      <c r="P50" s="556"/>
      <c r="Q50" s="556"/>
      <c r="R50" s="556"/>
      <c r="S50" s="556"/>
    </row>
    <row r="51" spans="1:19" ht="16.149999999999999" customHeight="1">
      <c r="A51" s="31" t="s">
        <v>57</v>
      </c>
      <c r="B51" s="49" t="s">
        <v>166</v>
      </c>
      <c r="C51" s="188"/>
      <c r="D51" s="188"/>
      <c r="E51" s="188"/>
      <c r="F51" s="188"/>
      <c r="G51" s="188"/>
      <c r="H51" s="188"/>
      <c r="I51" s="39"/>
      <c r="J51" s="188"/>
      <c r="K51" s="188"/>
      <c r="L51" s="188"/>
      <c r="M51" s="188"/>
      <c r="N51" s="188"/>
      <c r="O51" s="188"/>
      <c r="P51" s="188"/>
      <c r="Q51" s="188"/>
      <c r="R51" s="188"/>
      <c r="S51" s="188"/>
    </row>
    <row r="52" spans="1:19" ht="16.149999999999999" customHeight="1">
      <c r="A52" s="31"/>
      <c r="B52" s="49" t="s">
        <v>531</v>
      </c>
      <c r="C52" s="188"/>
      <c r="D52" s="188"/>
      <c r="E52" s="188"/>
      <c r="F52" s="188"/>
      <c r="G52" s="188"/>
      <c r="H52" s="188"/>
      <c r="I52" s="39"/>
      <c r="J52" s="188"/>
      <c r="K52" s="188"/>
      <c r="L52" s="188"/>
      <c r="M52" s="188"/>
      <c r="N52" s="188"/>
      <c r="O52" s="188"/>
      <c r="P52" s="188"/>
      <c r="Q52" s="188"/>
      <c r="R52" s="188"/>
      <c r="S52" s="188"/>
    </row>
    <row r="53" spans="1:19" ht="16.149999999999999" customHeight="1">
      <c r="A53" s="31" t="s">
        <v>41</v>
      </c>
      <c r="B53" s="49" t="s">
        <v>167</v>
      </c>
      <c r="C53" s="188"/>
      <c r="D53" s="188"/>
      <c r="E53" s="188"/>
      <c r="F53" s="188"/>
      <c r="G53" s="188"/>
      <c r="H53" s="188"/>
      <c r="I53" s="39"/>
      <c r="J53" s="188"/>
      <c r="K53" s="188"/>
      <c r="L53" s="188"/>
      <c r="M53" s="188"/>
      <c r="N53" s="188"/>
      <c r="O53" s="188"/>
      <c r="P53" s="188"/>
      <c r="Q53" s="188"/>
      <c r="R53" s="188"/>
      <c r="S53" s="188"/>
    </row>
    <row r="54" spans="1:19" ht="16.149999999999999" customHeight="1">
      <c r="A54" s="31" t="s">
        <v>76</v>
      </c>
      <c r="B54" s="555" t="s">
        <v>168</v>
      </c>
      <c r="C54" s="555"/>
      <c r="D54" s="555"/>
      <c r="E54" s="555"/>
      <c r="F54" s="555"/>
      <c r="G54" s="555"/>
      <c r="H54" s="555"/>
      <c r="I54" s="555"/>
      <c r="J54" s="555"/>
      <c r="K54" s="555"/>
      <c r="L54" s="555"/>
      <c r="M54" s="555"/>
      <c r="N54" s="555"/>
      <c r="O54" s="555"/>
      <c r="P54" s="555"/>
      <c r="Q54" s="555"/>
      <c r="R54" s="555"/>
      <c r="S54" s="555"/>
    </row>
    <row r="55" spans="1:19" ht="16.149999999999999" customHeight="1">
      <c r="A55" s="31"/>
      <c r="B55" s="555" t="s">
        <v>169</v>
      </c>
      <c r="C55" s="555"/>
      <c r="D55" s="555"/>
      <c r="E55" s="555"/>
      <c r="F55" s="555"/>
      <c r="G55" s="555"/>
      <c r="H55" s="555"/>
      <c r="I55" s="555"/>
      <c r="J55" s="555"/>
      <c r="K55" s="555"/>
      <c r="L55" s="555"/>
      <c r="M55" s="555"/>
      <c r="N55" s="555"/>
      <c r="O55" s="555"/>
      <c r="P55" s="555"/>
      <c r="Q55" s="555"/>
      <c r="R55" s="185"/>
      <c r="S55" s="185"/>
    </row>
    <row r="56" spans="1:19" ht="16.149999999999999" customHeight="1">
      <c r="A56" s="31" t="s">
        <v>170</v>
      </c>
      <c r="B56" s="49" t="s">
        <v>171</v>
      </c>
      <c r="C56" s="188"/>
      <c r="D56" s="188"/>
      <c r="E56" s="188"/>
      <c r="F56" s="188"/>
      <c r="G56" s="188"/>
      <c r="H56" s="188"/>
      <c r="I56" s="39"/>
      <c r="J56" s="188"/>
      <c r="K56" s="188"/>
      <c r="L56" s="188"/>
      <c r="M56" s="188"/>
      <c r="N56" s="188"/>
      <c r="O56" s="188"/>
      <c r="P56" s="188"/>
      <c r="Q56" s="188"/>
      <c r="R56" s="188"/>
      <c r="S56" s="188"/>
    </row>
    <row r="57" spans="1:19" ht="16.149999999999999" customHeight="1">
      <c r="A57" s="188"/>
      <c r="B57" s="49" t="s">
        <v>172</v>
      </c>
      <c r="C57" s="188"/>
      <c r="D57" s="188"/>
      <c r="E57" s="188"/>
      <c r="F57" s="188"/>
      <c r="G57" s="188"/>
      <c r="H57" s="188"/>
      <c r="I57" s="39"/>
      <c r="J57" s="188"/>
      <c r="K57" s="188"/>
      <c r="L57" s="188"/>
      <c r="M57" s="188"/>
      <c r="N57" s="188"/>
      <c r="O57" s="188"/>
      <c r="P57" s="188"/>
      <c r="Q57" s="188"/>
      <c r="R57" s="188"/>
      <c r="S57" s="188"/>
    </row>
    <row r="58" spans="1:19" ht="16.149999999999999" customHeight="1">
      <c r="A58" s="188"/>
      <c r="B58" s="49" t="s">
        <v>173</v>
      </c>
      <c r="C58" s="188"/>
      <c r="D58" s="188"/>
      <c r="E58" s="188"/>
      <c r="F58" s="188"/>
      <c r="G58" s="188"/>
      <c r="H58" s="188"/>
      <c r="I58" s="39"/>
      <c r="J58" s="188"/>
      <c r="K58" s="188"/>
      <c r="L58" s="188"/>
      <c r="M58" s="188"/>
      <c r="N58" s="188"/>
      <c r="O58" s="188"/>
      <c r="P58" s="188"/>
      <c r="Q58" s="188"/>
      <c r="R58" s="188"/>
      <c r="S58" s="188"/>
    </row>
    <row r="59" spans="1:19" ht="16.149999999999999" customHeight="1">
      <c r="A59" s="31" t="s">
        <v>174</v>
      </c>
      <c r="B59" s="49" t="s">
        <v>175</v>
      </c>
      <c r="C59" s="188"/>
      <c r="D59" s="188"/>
      <c r="E59" s="188"/>
      <c r="F59" s="188"/>
      <c r="G59" s="188"/>
      <c r="H59" s="188"/>
      <c r="I59" s="39"/>
      <c r="J59" s="188"/>
      <c r="K59" s="188"/>
      <c r="L59" s="188"/>
      <c r="M59" s="188"/>
      <c r="N59" s="188"/>
      <c r="O59" s="188"/>
      <c r="P59" s="188"/>
      <c r="Q59" s="188"/>
      <c r="R59" s="188"/>
      <c r="S59" s="188"/>
    </row>
  </sheetData>
  <mergeCells count="6">
    <mergeCell ref="B54:S54"/>
    <mergeCell ref="B55:Q55"/>
    <mergeCell ref="B46:S46"/>
    <mergeCell ref="B47:S47"/>
    <mergeCell ref="B48:S48"/>
    <mergeCell ref="B50:S50"/>
  </mergeCells>
  <printOptions horizontalCentered="1"/>
  <pageMargins left="0.5" right="0.5" top="0.75" bottom="0.75" header="0.33" footer="0.33"/>
  <pageSetup scale="69" orientation="portrait" blackAndWhite="1" horizontalDpi="1200" verticalDpi="1200" r:id="rId1"/>
  <headerFooter scaleWithDoc="0">
    <oddHeader>&amp;R&amp;"Arial,Regular"&amp;10Exhibit 5.2</oddHeader>
  </headerFooter>
  <ignoredErrors>
    <ignoredError sqref="C3:S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75"/>
  <sheetViews>
    <sheetView zoomScaleNormal="100" zoomScaleSheetLayoutView="70" workbookViewId="0"/>
  </sheetViews>
  <sheetFormatPr defaultColWidth="9.1328125" defaultRowHeight="12.75"/>
  <cols>
    <col min="1" max="1" width="9.3984375" style="184" customWidth="1"/>
    <col min="2" max="9" width="18.265625" style="184" customWidth="1"/>
    <col min="10" max="16384" width="9.1328125" style="110"/>
  </cols>
  <sheetData>
    <row r="1" spans="1:10" ht="15.4">
      <c r="A1" s="202" t="s">
        <v>461</v>
      </c>
      <c r="B1" s="203"/>
      <c r="C1" s="203"/>
      <c r="D1" s="203"/>
      <c r="E1" s="203"/>
      <c r="F1" s="203"/>
      <c r="G1" s="203"/>
      <c r="H1" s="203"/>
      <c r="I1" s="203"/>
      <c r="J1" s="161"/>
    </row>
    <row r="2" spans="1:10" ht="15.4">
      <c r="A2" s="202" t="s">
        <v>402</v>
      </c>
      <c r="B2" s="203"/>
      <c r="C2" s="203"/>
      <c r="D2" s="203"/>
      <c r="E2" s="203"/>
      <c r="F2" s="203"/>
      <c r="G2" s="203"/>
      <c r="H2" s="203"/>
      <c r="I2" s="203"/>
      <c r="J2" s="161"/>
    </row>
    <row r="3" spans="1:10" ht="15.4">
      <c r="A3" s="334"/>
      <c r="B3" s="203"/>
      <c r="C3" s="203"/>
      <c r="D3" s="203"/>
      <c r="E3" s="203"/>
      <c r="F3" s="203"/>
      <c r="G3" s="203"/>
      <c r="H3" s="203"/>
      <c r="I3" s="203"/>
      <c r="J3" s="161"/>
    </row>
    <row r="4" spans="1:10" ht="14.25">
      <c r="A4" s="205"/>
      <c r="B4" s="204" t="s">
        <v>176</v>
      </c>
      <c r="C4" s="204" t="s">
        <v>177</v>
      </c>
      <c r="D4" s="204"/>
      <c r="E4" s="204"/>
      <c r="F4" s="204"/>
      <c r="G4" s="202"/>
      <c r="H4" s="204"/>
      <c r="I4" s="204"/>
      <c r="J4" s="161"/>
    </row>
    <row r="5" spans="1:10" ht="14.25">
      <c r="A5" s="205"/>
      <c r="B5" s="204" t="s">
        <v>178</v>
      </c>
      <c r="C5" s="206" t="s">
        <v>179</v>
      </c>
      <c r="D5" s="206"/>
      <c r="E5" s="206"/>
      <c r="F5" s="207" t="s">
        <v>180</v>
      </c>
      <c r="G5" s="207"/>
      <c r="H5" s="207" t="s">
        <v>181</v>
      </c>
      <c r="I5" s="207" t="s">
        <v>182</v>
      </c>
      <c r="J5" s="161"/>
    </row>
    <row r="6" spans="1:10" ht="14.25">
      <c r="A6" s="205"/>
      <c r="B6" s="204" t="s">
        <v>183</v>
      </c>
      <c r="C6" s="204" t="s">
        <v>403</v>
      </c>
      <c r="D6" s="204"/>
      <c r="E6" s="204"/>
      <c r="F6" s="208" t="s">
        <v>3</v>
      </c>
      <c r="G6" s="208" t="s">
        <v>21</v>
      </c>
      <c r="H6" s="208" t="s">
        <v>184</v>
      </c>
      <c r="I6" s="208" t="s">
        <v>185</v>
      </c>
      <c r="J6" s="161"/>
    </row>
    <row r="7" spans="1:10" ht="14.25">
      <c r="A7" s="209" t="s">
        <v>186</v>
      </c>
      <c r="B7" s="210" t="s">
        <v>116</v>
      </c>
      <c r="C7" s="210" t="s">
        <v>116</v>
      </c>
      <c r="D7" s="210" t="s">
        <v>21</v>
      </c>
      <c r="E7" s="210" t="s">
        <v>187</v>
      </c>
      <c r="F7" s="209" t="s">
        <v>188</v>
      </c>
      <c r="G7" s="209" t="s">
        <v>189</v>
      </c>
      <c r="H7" s="211" t="s">
        <v>190</v>
      </c>
      <c r="I7" s="209" t="s">
        <v>191</v>
      </c>
      <c r="J7" s="161"/>
    </row>
    <row r="8" spans="1:10" ht="14.25">
      <c r="A8" s="214">
        <v>1979</v>
      </c>
      <c r="B8" s="462">
        <v>4.996951677645356E-3</v>
      </c>
      <c r="C8" s="463">
        <v>4.9845083498672596E-3</v>
      </c>
      <c r="D8" s="464">
        <v>-5.2639272086864267E-2</v>
      </c>
      <c r="E8" s="464">
        <v>6.9882945083220745E-3</v>
      </c>
      <c r="F8" s="463">
        <v>0</v>
      </c>
      <c r="G8" s="463">
        <v>-5.9627566595186525E-2</v>
      </c>
      <c r="H8" s="463">
        <v>0.13440887183616002</v>
      </c>
      <c r="I8" s="463">
        <v>0</v>
      </c>
      <c r="J8" s="161"/>
    </row>
    <row r="9" spans="1:10" ht="14.25">
      <c r="A9" s="208">
        <v>1980</v>
      </c>
      <c r="B9" s="465">
        <v>-6.5372010652823165E-2</v>
      </c>
      <c r="C9" s="466">
        <v>-6.7606701221617466E-2</v>
      </c>
      <c r="D9" s="467">
        <v>-0.13190207228618975</v>
      </c>
      <c r="E9" s="467">
        <v>-6.5507381151861915E-2</v>
      </c>
      <c r="F9" s="466">
        <v>3.3258233100083939E-2</v>
      </c>
      <c r="G9" s="466">
        <v>-6.6394691134327694E-2</v>
      </c>
      <c r="H9" s="466">
        <v>-8.0421499135320332E-2</v>
      </c>
      <c r="I9" s="466">
        <v>0</v>
      </c>
      <c r="J9" s="161"/>
    </row>
    <row r="10" spans="1:10" ht="14.25">
      <c r="A10" s="208">
        <v>1981</v>
      </c>
      <c r="B10" s="465">
        <v>-3.5390032063058685E-2</v>
      </c>
      <c r="C10" s="466">
        <v>-3.6031437648905013E-2</v>
      </c>
      <c r="D10" s="467">
        <v>-2.788134624470244E-2</v>
      </c>
      <c r="E10" s="467">
        <v>-3.6289899456888999E-2</v>
      </c>
      <c r="F10" s="466">
        <v>0</v>
      </c>
      <c r="G10" s="466">
        <v>8.4085532121862833E-3</v>
      </c>
      <c r="H10" s="466">
        <v>-7.8841722877398102E-2</v>
      </c>
      <c r="I10" s="466">
        <v>0</v>
      </c>
      <c r="J10" s="161"/>
    </row>
    <row r="11" spans="1:10" ht="14.25">
      <c r="A11" s="208">
        <v>1982</v>
      </c>
      <c r="B11" s="465">
        <v>-1.5938533526818954E-2</v>
      </c>
      <c r="C11" s="466">
        <v>-1.6066917952768951E-2</v>
      </c>
      <c r="D11" s="467">
        <v>0.15335055943321946</v>
      </c>
      <c r="E11" s="467">
        <v>-2.1963555191119827E-2</v>
      </c>
      <c r="F11" s="466">
        <v>0.35238649210176365</v>
      </c>
      <c r="G11" s="466">
        <v>0.17531411462434027</v>
      </c>
      <c r="H11" s="466">
        <v>-0.29374839880143294</v>
      </c>
      <c r="I11" s="466">
        <v>0</v>
      </c>
      <c r="J11" s="161"/>
    </row>
    <row r="12" spans="1:10" ht="14.25">
      <c r="A12" s="208">
        <v>1983</v>
      </c>
      <c r="B12" s="465">
        <v>6.2017702093358773E-2</v>
      </c>
      <c r="C12" s="466">
        <v>6.0170591318641178E-2</v>
      </c>
      <c r="D12" s="467">
        <v>0.21351026834009909</v>
      </c>
      <c r="E12" s="467">
        <v>5.3861846189502689E-2</v>
      </c>
      <c r="F12" s="466">
        <v>8.1444237360177044E-2</v>
      </c>
      <c r="G12" s="466">
        <v>0.15964842215059602</v>
      </c>
      <c r="H12" s="466">
        <v>2.8801153816086389E-2</v>
      </c>
      <c r="I12" s="466">
        <v>0</v>
      </c>
      <c r="J12" s="161"/>
    </row>
    <row r="13" spans="1:10" ht="14.25">
      <c r="A13" s="208">
        <v>1984</v>
      </c>
      <c r="B13" s="465">
        <v>9.526360530520761E-2</v>
      </c>
      <c r="C13" s="466">
        <v>9.0995069734883874E-2</v>
      </c>
      <c r="D13" s="467">
        <v>0.23541049732325814</v>
      </c>
      <c r="E13" s="467">
        <v>8.4054621235545524E-2</v>
      </c>
      <c r="F13" s="466">
        <v>0</v>
      </c>
      <c r="G13" s="466">
        <v>0.15135587608771287</v>
      </c>
      <c r="H13" s="466">
        <v>0.22198322996368208</v>
      </c>
      <c r="I13" s="466">
        <v>0</v>
      </c>
      <c r="J13" s="161"/>
    </row>
    <row r="14" spans="1:10" ht="14.25">
      <c r="A14" s="208">
        <v>1985</v>
      </c>
      <c r="B14" s="465">
        <v>2.0483778753561444E-2</v>
      </c>
      <c r="C14" s="466">
        <v>2.0276807750504763E-2</v>
      </c>
      <c r="D14" s="467">
        <v>0.13787669517060777</v>
      </c>
      <c r="E14" s="467">
        <v>1.3792480666207089E-2</v>
      </c>
      <c r="F14" s="466">
        <v>0</v>
      </c>
      <c r="G14" s="466">
        <v>0.12408421450440074</v>
      </c>
      <c r="H14" s="466">
        <v>8.0577659766766063E-2</v>
      </c>
      <c r="I14" s="466">
        <v>0</v>
      </c>
      <c r="J14" s="161"/>
    </row>
    <row r="15" spans="1:10" ht="14.25">
      <c r="A15" s="208">
        <v>1986</v>
      </c>
      <c r="B15" s="465">
        <v>-2.3852229652899903E-2</v>
      </c>
      <c r="C15" s="466">
        <v>-2.4141299985320167E-2</v>
      </c>
      <c r="D15" s="467">
        <v>3.8772799763753474E-2</v>
      </c>
      <c r="E15" s="467">
        <v>-2.7956017733358197E-2</v>
      </c>
      <c r="F15" s="466">
        <v>0</v>
      </c>
      <c r="G15" s="466">
        <v>6.6728817497111265E-2</v>
      </c>
      <c r="H15" s="466">
        <v>7.7748433977026729E-2</v>
      </c>
      <c r="I15" s="466">
        <v>0</v>
      </c>
      <c r="J15" s="161"/>
    </row>
    <row r="16" spans="1:10" ht="14.25">
      <c r="A16" s="208">
        <v>1987</v>
      </c>
      <c r="B16" s="465">
        <v>1.532409107754984E-2</v>
      </c>
      <c r="C16" s="466">
        <v>1.5207863082094385E-2</v>
      </c>
      <c r="D16" s="467">
        <v>5.3485296878038137E-2</v>
      </c>
      <c r="E16" s="467">
        <v>1.2759105237650949E-2</v>
      </c>
      <c r="F16" s="466">
        <v>0</v>
      </c>
      <c r="G16" s="466">
        <v>4.0726191640387086E-2</v>
      </c>
      <c r="H16" s="466">
        <v>0.15089836564167017</v>
      </c>
      <c r="I16" s="466">
        <v>0</v>
      </c>
      <c r="J16" s="161"/>
    </row>
    <row r="17" spans="1:10" ht="14.25">
      <c r="A17" s="208">
        <v>1988</v>
      </c>
      <c r="B17" s="465">
        <v>6.9455187248024242E-3</v>
      </c>
      <c r="C17" s="466">
        <v>6.9215097155325986E-3</v>
      </c>
      <c r="D17" s="467">
        <v>0.1041416184721011</v>
      </c>
      <c r="E17" s="467">
        <v>2.3329939342046528E-4</v>
      </c>
      <c r="F17" s="466">
        <v>0</v>
      </c>
      <c r="G17" s="466">
        <v>0.10390831907868088</v>
      </c>
      <c r="H17" s="466">
        <v>8.842883640166066E-2</v>
      </c>
      <c r="I17" s="466">
        <v>0</v>
      </c>
      <c r="J17" s="161"/>
    </row>
    <row r="18" spans="1:10" ht="14.25">
      <c r="A18" s="208">
        <v>1989</v>
      </c>
      <c r="B18" s="465">
        <v>2.4723678176935548E-2</v>
      </c>
      <c r="C18" s="466">
        <v>2.4422993980136063E-2</v>
      </c>
      <c r="D18" s="467">
        <v>0.21198029010894845</v>
      </c>
      <c r="E18" s="467">
        <v>9.3669743793903543E-3</v>
      </c>
      <c r="F18" s="466">
        <v>4.6028738573505555E-2</v>
      </c>
      <c r="G18" s="466">
        <v>0.2026133157295579</v>
      </c>
      <c r="H18" s="466">
        <v>4.4810327207370965E-2</v>
      </c>
      <c r="I18" s="466">
        <v>0</v>
      </c>
      <c r="J18" s="161"/>
    </row>
    <row r="19" spans="1:10" ht="14.25">
      <c r="A19" s="208">
        <v>1990</v>
      </c>
      <c r="B19" s="465">
        <v>9.0431739543243017E-2</v>
      </c>
      <c r="C19" s="466">
        <v>8.6573709141667871E-2</v>
      </c>
      <c r="D19" s="467">
        <v>0.33726703179095857</v>
      </c>
      <c r="E19" s="467">
        <v>6.0975811134139531E-2</v>
      </c>
      <c r="F19" s="466">
        <v>7.0942886375604683E-2</v>
      </c>
      <c r="G19" s="466">
        <v>0.27629122065681888</v>
      </c>
      <c r="H19" s="466">
        <v>-0.12084871517435837</v>
      </c>
      <c r="I19" s="466">
        <v>0</v>
      </c>
      <c r="J19" s="161"/>
    </row>
    <row r="20" spans="1:10" ht="14.25">
      <c r="A20" s="208">
        <v>1991</v>
      </c>
      <c r="B20" s="465">
        <v>2.8095177145757155E-3</v>
      </c>
      <c r="C20" s="466">
        <v>2.8055783963461317E-3</v>
      </c>
      <c r="D20" s="467">
        <v>0.16630586980360065</v>
      </c>
      <c r="E20" s="467">
        <v>-1.8183245384129767E-2</v>
      </c>
      <c r="F20" s="466">
        <v>2.340777541294272E-2</v>
      </c>
      <c r="G20" s="466">
        <v>0.18448911518773031</v>
      </c>
      <c r="H20" s="466">
        <v>-0.29294447445539262</v>
      </c>
      <c r="I20" s="466">
        <v>0</v>
      </c>
      <c r="J20" s="161"/>
    </row>
    <row r="21" spans="1:10" ht="14.25">
      <c r="A21" s="208">
        <v>1992</v>
      </c>
      <c r="B21" s="465">
        <v>-0.11086208081540316</v>
      </c>
      <c r="C21" s="466">
        <v>-0.11750291581093954</v>
      </c>
      <c r="D21" s="467">
        <v>-0.27176512011861087</v>
      </c>
      <c r="E21" s="467">
        <v>-9.7599912420887322E-2</v>
      </c>
      <c r="F21" s="466">
        <v>1.3154751304001039E-2</v>
      </c>
      <c r="G21" s="466">
        <v>-0.17416520769772331</v>
      </c>
      <c r="H21" s="466">
        <v>-0.18637430844355729</v>
      </c>
      <c r="I21" s="466">
        <v>6.7511000000000002E-2</v>
      </c>
      <c r="J21" s="161"/>
    </row>
    <row r="22" spans="1:10" ht="14.25">
      <c r="A22" s="208">
        <v>1993</v>
      </c>
      <c r="B22" s="465">
        <v>-0.14914649482656284</v>
      </c>
      <c r="C22" s="466">
        <v>-0.16151530955933532</v>
      </c>
      <c r="D22" s="467">
        <v>-0.24038164723996933</v>
      </c>
      <c r="E22" s="467">
        <v>-0.15259548150007859</v>
      </c>
      <c r="F22" s="466">
        <v>-5.6706294133613756E-2</v>
      </c>
      <c r="G22" s="466">
        <v>-8.7786165739890912E-2</v>
      </c>
      <c r="H22" s="466">
        <v>-2.1940277310713244E-2</v>
      </c>
      <c r="I22" s="466">
        <v>0.46447899999999998</v>
      </c>
      <c r="J22" s="161"/>
    </row>
    <row r="23" spans="1:10" ht="14.25">
      <c r="A23" s="208">
        <v>1994</v>
      </c>
      <c r="B23" s="465">
        <v>-0.12757778326307023</v>
      </c>
      <c r="C23" s="466">
        <v>-0.13648177875135456</v>
      </c>
      <c r="D23" s="467">
        <v>-0.46188263759483378</v>
      </c>
      <c r="E23" s="467">
        <v>-0.10686638036123315</v>
      </c>
      <c r="F23" s="466">
        <v>6.1379405889037029E-2</v>
      </c>
      <c r="G23" s="466">
        <v>-0.35501625723360081</v>
      </c>
      <c r="H23" s="466">
        <v>0.10625472647623252</v>
      </c>
      <c r="I23" s="466">
        <v>0.17288400000000001</v>
      </c>
      <c r="J23" s="161"/>
    </row>
    <row r="24" spans="1:10" ht="14.25">
      <c r="A24" s="208">
        <v>1995</v>
      </c>
      <c r="B24" s="465">
        <v>-4.6400151867120654E-2</v>
      </c>
      <c r="C24" s="466">
        <v>-4.7511141927692624E-2</v>
      </c>
      <c r="D24" s="467">
        <v>-1.6114250066335205E-2</v>
      </c>
      <c r="E24" s="467">
        <v>-4.9934166770559063E-2</v>
      </c>
      <c r="F24" s="466">
        <v>5.2576129225968458E-2</v>
      </c>
      <c r="G24" s="466">
        <v>3.3819916704223636E-2</v>
      </c>
      <c r="H24" s="466">
        <v>9.2188772102960864E-2</v>
      </c>
      <c r="I24" s="466">
        <v>0.295126</v>
      </c>
      <c r="J24" s="161"/>
    </row>
    <row r="25" spans="1:10" ht="14.25">
      <c r="A25" s="208">
        <v>1996</v>
      </c>
      <c r="B25" s="465">
        <v>-6.7844028191238914E-2</v>
      </c>
      <c r="C25" s="466">
        <v>-7.025512657214536E-2</v>
      </c>
      <c r="D25" s="467">
        <v>-0.13633037433528736</v>
      </c>
      <c r="E25" s="467">
        <v>-6.524925551029194E-2</v>
      </c>
      <c r="F25" s="466">
        <v>9.5585116390051669E-2</v>
      </c>
      <c r="G25" s="466">
        <v>-7.1081118824995418E-2</v>
      </c>
      <c r="H25" s="466">
        <v>7.463392095143416E-2</v>
      </c>
      <c r="I25" s="466">
        <v>0</v>
      </c>
      <c r="J25" s="161"/>
    </row>
    <row r="26" spans="1:10" ht="14.25">
      <c r="A26" s="208">
        <v>1997</v>
      </c>
      <c r="B26" s="465">
        <v>-3.2688424861444187E-2</v>
      </c>
      <c r="C26" s="466">
        <v>-3.323462742405054E-2</v>
      </c>
      <c r="D26" s="467">
        <v>-2.2605849017297504E-2</v>
      </c>
      <c r="E26" s="467">
        <v>-3.4016057861559555E-2</v>
      </c>
      <c r="F26" s="466">
        <v>6.5591055844175003E-2</v>
      </c>
      <c r="G26" s="466">
        <v>1.1410208844262054E-2</v>
      </c>
      <c r="H26" s="466">
        <v>0.1374636454654023</v>
      </c>
      <c r="I26" s="466">
        <v>0</v>
      </c>
      <c r="J26" s="161"/>
    </row>
    <row r="27" spans="1:10" ht="14.25">
      <c r="A27" s="208">
        <v>1998</v>
      </c>
      <c r="B27" s="465">
        <v>-3.760120915248033E-2</v>
      </c>
      <c r="C27" s="466">
        <v>-3.8326370715308741E-2</v>
      </c>
      <c r="D27" s="467">
        <v>-3.9795137481566753E-2</v>
      </c>
      <c r="E27" s="467">
        <v>-3.8217854907867381E-2</v>
      </c>
      <c r="F27" s="466">
        <v>5.7708699010089543E-2</v>
      </c>
      <c r="G27" s="466">
        <v>-1.5772825736989646E-3</v>
      </c>
      <c r="H27" s="466">
        <v>7.8524059790894149E-2</v>
      </c>
      <c r="I27" s="466">
        <v>0</v>
      </c>
      <c r="J27" s="161"/>
    </row>
    <row r="28" spans="1:10" ht="14.25">
      <c r="A28" s="208">
        <v>1999</v>
      </c>
      <c r="B28" s="465">
        <v>1.4533433988951128E-2</v>
      </c>
      <c r="C28" s="466">
        <v>1.4428835865827867E-2</v>
      </c>
      <c r="D28" s="467">
        <v>9.9873835725105983E-2</v>
      </c>
      <c r="E28" s="467">
        <v>7.821833922136142E-3</v>
      </c>
      <c r="F28" s="466">
        <v>3.9845917280876893E-2</v>
      </c>
      <c r="G28" s="466">
        <v>9.2052001802969505E-2</v>
      </c>
      <c r="H28" s="466">
        <v>0.12768572800605768</v>
      </c>
      <c r="I28" s="466">
        <v>0</v>
      </c>
      <c r="J28" s="161"/>
    </row>
    <row r="29" spans="1:10" ht="14.25">
      <c r="A29" s="208">
        <v>2000</v>
      </c>
      <c r="B29" s="465">
        <v>4.0172321124360089E-2</v>
      </c>
      <c r="C29" s="466">
        <v>3.9386392816455673E-2</v>
      </c>
      <c r="D29" s="467">
        <v>7.0726883131301418E-2</v>
      </c>
      <c r="E29" s="467">
        <v>3.680612644187771E-2</v>
      </c>
      <c r="F29" s="466">
        <v>-3.103180999786116E-3</v>
      </c>
      <c r="G29" s="466">
        <v>3.3920756689423827E-2</v>
      </c>
      <c r="H29" s="466">
        <v>6.6243266065076925E-2</v>
      </c>
      <c r="I29" s="466">
        <v>0</v>
      </c>
      <c r="J29" s="161"/>
    </row>
    <row r="30" spans="1:10" ht="14.25">
      <c r="A30" s="208">
        <v>2001</v>
      </c>
      <c r="B30" s="465">
        <v>-6.9103689982355054E-2</v>
      </c>
      <c r="C30" s="466">
        <v>-7.1607382754491869E-2</v>
      </c>
      <c r="D30" s="467">
        <v>-1.7509428585871688E-2</v>
      </c>
      <c r="E30" s="467">
        <v>-7.6272908969485215E-2</v>
      </c>
      <c r="F30" s="466">
        <v>-7.349595133649695E-3</v>
      </c>
      <c r="G30" s="466">
        <v>5.8763480383613446E-2</v>
      </c>
      <c r="H30" s="466">
        <v>-0.10063654533899015</v>
      </c>
      <c r="I30" s="466">
        <v>0</v>
      </c>
      <c r="J30" s="161"/>
    </row>
    <row r="31" spans="1:10" ht="14.25">
      <c r="A31" s="208">
        <v>2002</v>
      </c>
      <c r="B31" s="465">
        <v>-2.3139389677828914E-2</v>
      </c>
      <c r="C31" s="466">
        <v>-2.3411308231283734E-2</v>
      </c>
      <c r="D31" s="467">
        <v>6.7673039462498785E-3</v>
      </c>
      <c r="E31" s="467">
        <v>-2.6135815610813427E-2</v>
      </c>
      <c r="F31" s="466">
        <v>6.0028862535367128E-2</v>
      </c>
      <c r="G31" s="466">
        <v>3.2903119557063397E-2</v>
      </c>
      <c r="H31" s="466">
        <v>-0.20222779906010799</v>
      </c>
      <c r="I31" s="466">
        <v>0</v>
      </c>
      <c r="J31" s="161"/>
    </row>
    <row r="32" spans="1:10" ht="14.25">
      <c r="A32" s="208">
        <v>2003</v>
      </c>
      <c r="B32" s="465">
        <v>-2.8604501419591699E-2</v>
      </c>
      <c r="C32" s="466">
        <v>-2.9021583031807623E-2</v>
      </c>
      <c r="D32" s="467">
        <v>-5.312654112006366E-3</v>
      </c>
      <c r="E32" s="467">
        <v>-3.1225860187038063E-2</v>
      </c>
      <c r="F32" s="466">
        <v>-6.5341083840120134E-2</v>
      </c>
      <c r="G32" s="466">
        <v>2.5913206075031378E-2</v>
      </c>
      <c r="H32" s="466">
        <v>-2.3078254183917225E-2</v>
      </c>
      <c r="I32" s="466">
        <v>0</v>
      </c>
      <c r="J32" s="161"/>
    </row>
    <row r="33" spans="1:10" ht="14.25">
      <c r="A33" s="208">
        <v>2004</v>
      </c>
      <c r="B33" s="465">
        <v>-0.16646224614970329</v>
      </c>
      <c r="C33" s="466">
        <v>-0.18207628225585751</v>
      </c>
      <c r="D33" s="467">
        <v>-0.20937327336323469</v>
      </c>
      <c r="E33" s="467">
        <v>-0.17954336020568071</v>
      </c>
      <c r="F33" s="466">
        <v>-0.39778538419240267</v>
      </c>
      <c r="G33" s="466">
        <v>-2.9829913157554119E-2</v>
      </c>
      <c r="H33" s="466">
        <v>9.3419794908837325E-2</v>
      </c>
      <c r="I33" s="466">
        <v>0</v>
      </c>
      <c r="J33" s="161"/>
    </row>
    <row r="34" spans="1:10" ht="14.25">
      <c r="A34" s="208">
        <v>2005</v>
      </c>
      <c r="B34" s="465">
        <v>-0.13587028767775988</v>
      </c>
      <c r="C34" s="466">
        <v>-0.14603239144386973</v>
      </c>
      <c r="D34" s="467">
        <v>-0.29802144855667256</v>
      </c>
      <c r="E34" s="467">
        <v>-0.13322506707245907</v>
      </c>
      <c r="F34" s="466">
        <v>5.085640230810775E-2</v>
      </c>
      <c r="G34" s="466">
        <v>-0.16479638148421352</v>
      </c>
      <c r="H34" s="466">
        <v>0.14077124987059525</v>
      </c>
      <c r="I34" s="466">
        <v>0</v>
      </c>
      <c r="J34" s="161"/>
    </row>
    <row r="35" spans="1:10" ht="14.25">
      <c r="A35" s="208">
        <v>2006</v>
      </c>
      <c r="B35" s="465">
        <v>-5.6927231204001449E-2</v>
      </c>
      <c r="C35" s="466">
        <v>-5.8611831991886354E-2</v>
      </c>
      <c r="D35" s="467">
        <v>-4.9899642530211098E-2</v>
      </c>
      <c r="E35" s="467">
        <v>-5.9290432057376295E-2</v>
      </c>
      <c r="F35" s="466">
        <v>1.6334087468424897E-2</v>
      </c>
      <c r="G35" s="466">
        <v>9.3907895271651085E-3</v>
      </c>
      <c r="H35" s="466">
        <v>9.4902591922768204E-2</v>
      </c>
      <c r="I35" s="466">
        <v>0</v>
      </c>
      <c r="J35" s="161"/>
    </row>
    <row r="36" spans="1:10" ht="14.25">
      <c r="A36" s="208">
        <v>2007</v>
      </c>
      <c r="B36" s="465">
        <v>-1.6379289986085177E-2</v>
      </c>
      <c r="C36" s="466">
        <v>-1.6514913540577505E-2</v>
      </c>
      <c r="D36" s="467">
        <v>2.0536893504092081E-2</v>
      </c>
      <c r="E36" s="467">
        <v>-1.947324323576944E-2</v>
      </c>
      <c r="F36" s="466">
        <v>4.8656431170160629E-2</v>
      </c>
      <c r="G36" s="466">
        <v>4.0010136739861653E-2</v>
      </c>
      <c r="H36" s="466">
        <v>-8.4472628569653152E-2</v>
      </c>
      <c r="I36" s="466">
        <v>0</v>
      </c>
      <c r="J36" s="161"/>
    </row>
    <row r="37" spans="1:10" ht="14.25">
      <c r="A37" s="208">
        <v>2008</v>
      </c>
      <c r="B37" s="465">
        <v>-2.7086022422883715E-2</v>
      </c>
      <c r="C37" s="466">
        <v>-2.745961018329195E-2</v>
      </c>
      <c r="D37" s="467">
        <v>3.7843046216336287E-2</v>
      </c>
      <c r="E37" s="467">
        <v>-3.2971305353923563E-2</v>
      </c>
      <c r="F37" s="468">
        <v>5.715585247407032E-3</v>
      </c>
      <c r="G37" s="466">
        <v>7.0814351570259892E-2</v>
      </c>
      <c r="H37" s="466">
        <v>-0.30813973565760244</v>
      </c>
      <c r="I37" s="466">
        <v>0</v>
      </c>
      <c r="J37" s="161"/>
    </row>
    <row r="38" spans="1:10" ht="14.25">
      <c r="A38" s="208">
        <v>2009</v>
      </c>
      <c r="B38" s="465">
        <v>-2.0359754555901999E-3</v>
      </c>
      <c r="C38" s="466">
        <v>-2.0380508710932301E-3</v>
      </c>
      <c r="D38" s="467">
        <v>0.16764567247437001</v>
      </c>
      <c r="E38" s="467">
        <v>-1.8338406107842053E-2</v>
      </c>
      <c r="F38" s="468">
        <v>6.6183592646974224E-2</v>
      </c>
      <c r="G38" s="466">
        <v>0.18598407858221208</v>
      </c>
      <c r="H38" s="466">
        <v>-0.42656674881492623</v>
      </c>
      <c r="I38" s="466">
        <v>0</v>
      </c>
      <c r="J38" s="161"/>
    </row>
    <row r="39" spans="1:10" ht="14.25">
      <c r="A39" s="208">
        <v>2010</v>
      </c>
      <c r="B39" s="465">
        <v>8.8722147591663969E-2</v>
      </c>
      <c r="C39" s="466">
        <v>8.500466685199011E-2</v>
      </c>
      <c r="D39" s="467">
        <v>0.13910013175517114</v>
      </c>
      <c r="E39" s="467">
        <v>7.9134353054077011E-2</v>
      </c>
      <c r="F39" s="468">
        <v>1.2272159994592635E-2</v>
      </c>
      <c r="G39" s="466">
        <v>5.9965778701094243E-2</v>
      </c>
      <c r="H39" s="466">
        <v>-9.1927581751238635E-2</v>
      </c>
      <c r="I39" s="466">
        <v>0</v>
      </c>
      <c r="J39" s="161"/>
    </row>
    <row r="40" spans="1:10" ht="14.25">
      <c r="A40" s="208">
        <v>2011</v>
      </c>
      <c r="B40" s="465">
        <v>1.2168971391922856E-2</v>
      </c>
      <c r="C40" s="466">
        <v>1.2095524706285552E-2</v>
      </c>
      <c r="D40" s="467">
        <v>3.1954452363003906E-2</v>
      </c>
      <c r="E40" s="467">
        <v>9.8504427574210695E-3</v>
      </c>
      <c r="F40" s="468">
        <v>2.8654470047896979E-3</v>
      </c>
      <c r="G40" s="466">
        <v>2.2104009605582675E-2</v>
      </c>
      <c r="H40" s="466">
        <v>4.2931832371166094E-2</v>
      </c>
      <c r="I40" s="466">
        <v>0</v>
      </c>
      <c r="J40" s="161"/>
    </row>
    <row r="41" spans="1:10" ht="14.25">
      <c r="A41" s="208">
        <v>2012</v>
      </c>
      <c r="B41" s="465">
        <v>4.7095238914794502E-2</v>
      </c>
      <c r="C41" s="466">
        <v>4.6019891375905751E-2</v>
      </c>
      <c r="D41" s="467">
        <v>0.12688827507693629</v>
      </c>
      <c r="E41" s="467">
        <v>3.6345454168036501E-2</v>
      </c>
      <c r="F41" s="468">
        <v>2.5144897654671868E-2</v>
      </c>
      <c r="G41" s="466">
        <v>9.0542820908899757E-2</v>
      </c>
      <c r="H41" s="466">
        <v>0.12328595266025424</v>
      </c>
      <c r="I41" s="466">
        <v>0</v>
      </c>
      <c r="J41" s="161"/>
    </row>
    <row r="42" spans="1:10" ht="14.25">
      <c r="A42" s="208">
        <v>2013</v>
      </c>
      <c r="B42" s="465">
        <v>3.5852240778260214E-3</v>
      </c>
      <c r="C42" s="466">
        <v>3.5788124820837338E-3</v>
      </c>
      <c r="D42" s="467">
        <v>0.12604898906527343</v>
      </c>
      <c r="E42" s="467">
        <v>-1.2859295057057523E-2</v>
      </c>
      <c r="F42" s="468">
        <v>7.0658592578031226E-2</v>
      </c>
      <c r="G42" s="466">
        <v>0.13890828412233081</v>
      </c>
      <c r="H42" s="466">
        <v>0.1511542238411831</v>
      </c>
      <c r="I42" s="466">
        <v>0</v>
      </c>
      <c r="J42" s="161"/>
    </row>
    <row r="43" spans="1:10" ht="14.25">
      <c r="A43" s="208">
        <v>2014</v>
      </c>
      <c r="B43" s="465">
        <v>1.5603350500703606E-3</v>
      </c>
      <c r="C43" s="466">
        <v>1.5591189921436471E-3</v>
      </c>
      <c r="D43" s="467">
        <v>5.044236899282669E-2</v>
      </c>
      <c r="E43" s="467">
        <v>-5.6703369963417519E-3</v>
      </c>
      <c r="F43" s="468">
        <v>2.6682695491357785E-3</v>
      </c>
      <c r="G43" s="466">
        <v>5.6112705989168565E-2</v>
      </c>
      <c r="H43" s="466">
        <v>0.17786914167025403</v>
      </c>
      <c r="I43" s="466">
        <v>0</v>
      </c>
      <c r="J43" s="161"/>
    </row>
    <row r="44" spans="1:10" ht="14.25">
      <c r="A44" s="208">
        <v>2015</v>
      </c>
      <c r="B44" s="469">
        <v>-1.2588007051904215E-2</v>
      </c>
      <c r="C44" s="468">
        <v>-1.2667907243597676E-2</v>
      </c>
      <c r="D44" s="470">
        <v>2.4578201920652236E-2</v>
      </c>
      <c r="E44" s="470">
        <v>-1.8456035499116025E-2</v>
      </c>
      <c r="F44" s="468">
        <v>2.4583554819810277E-3</v>
      </c>
      <c r="G44" s="466">
        <v>4.3034237419768438E-2</v>
      </c>
      <c r="H44" s="466">
        <v>0.19349842858994362</v>
      </c>
      <c r="I44" s="466">
        <v>0</v>
      </c>
      <c r="J44" s="161"/>
    </row>
    <row r="45" spans="1:10" ht="14.25">
      <c r="A45" s="208">
        <v>2016</v>
      </c>
      <c r="B45" s="469">
        <v>-2.5326188020040719E-2</v>
      </c>
      <c r="C45" s="468">
        <v>-2.565241577465955E-2</v>
      </c>
      <c r="D45" s="470">
        <v>6.071518459677331E-2</v>
      </c>
      <c r="E45" s="470">
        <v>-4.0078438796774009E-2</v>
      </c>
      <c r="F45" s="468">
        <v>4.3417132363153957E-3</v>
      </c>
      <c r="G45" s="466">
        <v>0.10079362339354711</v>
      </c>
      <c r="H45" s="466">
        <v>0.12399452071370205</v>
      </c>
      <c r="I45" s="466">
        <v>0</v>
      </c>
      <c r="J45" s="161"/>
    </row>
    <row r="46" spans="1:10" ht="14.25">
      <c r="A46" s="208">
        <v>2017</v>
      </c>
      <c r="B46" s="469">
        <v>-2.1433850802819454E-2</v>
      </c>
      <c r="C46" s="468">
        <v>-2.1666891776715731E-2</v>
      </c>
      <c r="D46" s="470">
        <v>-4.2627358131656412E-2</v>
      </c>
      <c r="E46" s="470">
        <v>-1.8030930719594506E-2</v>
      </c>
      <c r="F46" s="468">
        <v>4.0775999793309882E-3</v>
      </c>
      <c r="G46" s="466">
        <v>-2.4596427412061642E-2</v>
      </c>
      <c r="H46" s="466">
        <v>0.13652626241472482</v>
      </c>
      <c r="I46" s="466">
        <v>0</v>
      </c>
      <c r="J46" s="161"/>
    </row>
    <row r="47" spans="1:10" ht="14.25">
      <c r="A47" s="215" t="s">
        <v>364</v>
      </c>
      <c r="B47" s="471">
        <v>-9.8128146955814843E-3</v>
      </c>
      <c r="C47" s="472">
        <v>-9.8612776610586036E-3</v>
      </c>
      <c r="D47" s="473">
        <v>-8.3868081673410103E-2</v>
      </c>
      <c r="E47" s="473">
        <v>3.9852177037779579E-3</v>
      </c>
      <c r="F47" s="472">
        <v>3.4132840345020721E-3</v>
      </c>
      <c r="G47" s="473">
        <v>-8.785329937718811E-2</v>
      </c>
      <c r="H47" s="472">
        <v>0.11952504115203744</v>
      </c>
      <c r="I47" s="472">
        <v>0</v>
      </c>
      <c r="J47" s="161"/>
    </row>
    <row r="48" spans="1:10" ht="14.25">
      <c r="A48" s="216">
        <v>2019</v>
      </c>
      <c r="B48" s="474">
        <v>-1.3665031181996135E-2</v>
      </c>
      <c r="C48" s="475">
        <v>-1.3759257105412629E-2</v>
      </c>
      <c r="D48" s="476">
        <v>-1.3759257105412516E-2</v>
      </c>
      <c r="E48" s="476">
        <v>-1.3759257105412497E-2</v>
      </c>
      <c r="F48" s="475">
        <v>3.9940917700117106E-3</v>
      </c>
      <c r="G48" s="476">
        <v>0</v>
      </c>
      <c r="H48" s="477">
        <v>5.3585634455464028E-2</v>
      </c>
      <c r="I48" s="477">
        <v>0</v>
      </c>
      <c r="J48" s="161"/>
    </row>
    <row r="49" spans="1:10" ht="14.25">
      <c r="A49" s="212">
        <v>2020</v>
      </c>
      <c r="B49" s="478">
        <v>-6.8483790363023989E-2</v>
      </c>
      <c r="C49" s="479">
        <v>-7.094168744189977E-2</v>
      </c>
      <c r="D49" s="480">
        <v>2.1093385715123758E-2</v>
      </c>
      <c r="E49" s="480">
        <v>-8.8350213354513971E-2</v>
      </c>
      <c r="F49" s="479">
        <v>3.6534158997153648E-3</v>
      </c>
      <c r="G49" s="480">
        <v>0.10944359906963774</v>
      </c>
      <c r="H49" s="481">
        <v>-0.95772571209565449</v>
      </c>
      <c r="I49" s="481">
        <v>0</v>
      </c>
      <c r="J49" s="161"/>
    </row>
    <row r="50" spans="1:10" ht="14.25">
      <c r="A50" s="212">
        <v>2021</v>
      </c>
      <c r="B50" s="478">
        <v>4.6381598113507394E-3</v>
      </c>
      <c r="C50" s="479">
        <v>4.6274366923752227E-3</v>
      </c>
      <c r="D50" s="480">
        <v>1.4065302449969893E-3</v>
      </c>
      <c r="E50" s="480">
        <v>5.2694820209826139E-3</v>
      </c>
      <c r="F50" s="479">
        <v>3.6534158997153648E-3</v>
      </c>
      <c r="G50" s="480">
        <v>-3.8629517759857217E-3</v>
      </c>
      <c r="H50" s="481">
        <v>0.24876145143467851</v>
      </c>
      <c r="I50" s="481">
        <v>0</v>
      </c>
      <c r="J50" s="161"/>
    </row>
    <row r="51" spans="1:10" ht="14.25">
      <c r="A51" s="212">
        <v>2022</v>
      </c>
      <c r="B51" s="478">
        <v>-3.0286597408546445E-4</v>
      </c>
      <c r="C51" s="479">
        <v>-3.0291184724710749E-4</v>
      </c>
      <c r="D51" s="480">
        <v>-3.0291184724721856E-4</v>
      </c>
      <c r="E51" s="480">
        <v>-3.029118472470671E-4</v>
      </c>
      <c r="F51" s="479">
        <v>3.6534158997153648E-3</v>
      </c>
      <c r="G51" s="480">
        <v>0</v>
      </c>
      <c r="H51" s="481">
        <v>0.18456118239846447</v>
      </c>
      <c r="I51" s="481">
        <v>0</v>
      </c>
      <c r="J51" s="161"/>
    </row>
    <row r="52" spans="1:10" ht="14.25">
      <c r="A52" s="205"/>
      <c r="B52" s="205"/>
      <c r="C52" s="205"/>
      <c r="D52" s="205"/>
      <c r="E52" s="205"/>
      <c r="F52" s="217"/>
      <c r="G52" s="205"/>
      <c r="H52" s="205"/>
      <c r="I52" s="205"/>
      <c r="J52" s="161"/>
    </row>
    <row r="53" spans="1:10" ht="14.25">
      <c r="A53" s="205"/>
      <c r="B53" s="205"/>
      <c r="C53" s="218" t="s">
        <v>192</v>
      </c>
      <c r="D53" s="205"/>
      <c r="E53" s="205"/>
      <c r="F53" s="205"/>
      <c r="G53" s="205"/>
      <c r="H53" s="205"/>
      <c r="I53" s="205"/>
      <c r="J53" s="161"/>
    </row>
    <row r="54" spans="1:10" ht="14.25">
      <c r="A54" s="208"/>
      <c r="B54" s="35"/>
      <c r="C54" s="205" t="s">
        <v>193</v>
      </c>
      <c r="D54" s="205"/>
      <c r="E54" s="213">
        <v>-0.02</v>
      </c>
      <c r="F54" s="219"/>
      <c r="G54" s="219"/>
      <c r="H54" s="205"/>
      <c r="I54" s="208"/>
      <c r="J54" s="161"/>
    </row>
    <row r="55" spans="1:10" ht="14.25">
      <c r="A55" s="208"/>
      <c r="B55" s="35"/>
      <c r="C55" s="205" t="s">
        <v>194</v>
      </c>
      <c r="D55" s="205"/>
      <c r="E55" s="213">
        <v>3.9510856541646246E-2</v>
      </c>
      <c r="F55" s="205"/>
      <c r="G55" s="205"/>
      <c r="H55" s="208"/>
      <c r="I55" s="208"/>
      <c r="J55" s="161"/>
    </row>
    <row r="56" spans="1:10" ht="14.25">
      <c r="A56" s="208"/>
      <c r="B56" s="220"/>
      <c r="C56" s="205" t="s">
        <v>195</v>
      </c>
      <c r="D56" s="205"/>
      <c r="E56" s="213">
        <v>0.56572315697609055</v>
      </c>
      <c r="F56" s="205"/>
      <c r="G56" s="205"/>
      <c r="H56" s="208"/>
      <c r="I56" s="208"/>
      <c r="J56" s="161"/>
    </row>
    <row r="57" spans="1:10" ht="14.25">
      <c r="A57" s="208"/>
      <c r="B57" s="220"/>
      <c r="C57" s="205" t="s">
        <v>196</v>
      </c>
      <c r="D57" s="205"/>
      <c r="E57" s="221">
        <v>40</v>
      </c>
      <c r="F57" s="205"/>
      <c r="G57" s="205"/>
      <c r="H57" s="208"/>
      <c r="I57" s="208"/>
      <c r="J57" s="161"/>
    </row>
    <row r="58" spans="1:10" ht="14.25">
      <c r="A58" s="208"/>
      <c r="B58" s="220"/>
      <c r="C58" s="205" t="s">
        <v>197</v>
      </c>
      <c r="D58" s="205"/>
      <c r="E58" s="221">
        <v>35</v>
      </c>
      <c r="F58" s="205"/>
      <c r="G58" s="205"/>
      <c r="H58" s="205"/>
      <c r="I58" s="205"/>
      <c r="J58" s="161"/>
    </row>
    <row r="59" spans="1:10" ht="14.25">
      <c r="A59" s="205"/>
      <c r="B59" s="205"/>
      <c r="C59" s="205"/>
      <c r="D59" s="205"/>
      <c r="E59" s="205"/>
      <c r="F59" s="205"/>
      <c r="G59" s="205"/>
      <c r="H59" s="205"/>
      <c r="I59" s="205"/>
      <c r="J59" s="161"/>
    </row>
    <row r="60" spans="1:10" ht="14.25">
      <c r="A60" s="205"/>
      <c r="B60" s="205"/>
      <c r="C60" s="205" t="s">
        <v>198</v>
      </c>
      <c r="D60" s="205"/>
      <c r="E60" s="205"/>
      <c r="F60" s="213">
        <v>0.17791064585495964</v>
      </c>
      <c r="G60" s="213">
        <v>0.27264395370250188</v>
      </c>
      <c r="H60" s="213">
        <v>0.10320212692035864</v>
      </c>
      <c r="I60" s="213">
        <v>-0.14483357742673969</v>
      </c>
      <c r="J60" s="161"/>
    </row>
    <row r="61" spans="1:10" ht="14.25">
      <c r="A61" s="205"/>
      <c r="B61" s="205"/>
      <c r="C61" s="205" t="s">
        <v>199</v>
      </c>
      <c r="D61" s="205"/>
      <c r="E61" s="205"/>
      <c r="F61" s="213">
        <v>7.2025513382289602E-2</v>
      </c>
      <c r="G61" s="213">
        <v>6.0721447641068099E-2</v>
      </c>
      <c r="H61" s="213">
        <v>4.3149932099911407E-2</v>
      </c>
      <c r="I61" s="213">
        <v>7.5641769556853505E-2</v>
      </c>
      <c r="J61" s="161"/>
    </row>
    <row r="62" spans="1:10" ht="14.25">
      <c r="A62" s="205"/>
      <c r="B62" s="205"/>
      <c r="C62" s="205"/>
      <c r="D62" s="205"/>
      <c r="E62" s="205"/>
      <c r="F62" s="205"/>
      <c r="G62" s="205"/>
      <c r="H62" s="205"/>
      <c r="I62" s="205"/>
      <c r="J62" s="161"/>
    </row>
    <row r="63" spans="1:10" ht="14.25">
      <c r="A63" s="205" t="s">
        <v>200</v>
      </c>
      <c r="B63" s="205"/>
      <c r="C63" s="205"/>
      <c r="D63" s="205"/>
      <c r="E63" s="205"/>
      <c r="F63" s="205"/>
      <c r="G63" s="205"/>
      <c r="H63" s="205"/>
      <c r="I63" s="205"/>
      <c r="J63" s="161"/>
    </row>
    <row r="64" spans="1:10" ht="14.25">
      <c r="A64" s="205" t="s">
        <v>248</v>
      </c>
      <c r="B64" s="205"/>
      <c r="C64" s="205"/>
      <c r="D64" s="205"/>
      <c r="E64" s="205"/>
      <c r="F64" s="205"/>
      <c r="G64" s="205"/>
      <c r="H64" s="205"/>
      <c r="I64" s="205"/>
      <c r="J64" s="161"/>
    </row>
    <row r="65" spans="1:10" ht="14.25">
      <c r="A65" s="205" t="s">
        <v>249</v>
      </c>
      <c r="B65" s="205"/>
      <c r="C65" s="205"/>
      <c r="D65" s="205"/>
      <c r="E65" s="205"/>
      <c r="F65" s="205"/>
      <c r="G65" s="205"/>
      <c r="H65" s="205"/>
      <c r="I65" s="205"/>
      <c r="J65" s="161"/>
    </row>
    <row r="66" spans="1:10" ht="14.25">
      <c r="A66" s="205" t="s">
        <v>250</v>
      </c>
      <c r="B66" s="205"/>
      <c r="C66" s="205"/>
      <c r="D66" s="205"/>
      <c r="E66" s="205"/>
      <c r="F66" s="205"/>
      <c r="G66" s="205"/>
      <c r="H66" s="205"/>
      <c r="I66" s="205"/>
      <c r="J66" s="161"/>
    </row>
    <row r="67" spans="1:10" ht="14.25">
      <c r="A67" s="205" t="s">
        <v>251</v>
      </c>
      <c r="B67" s="205"/>
      <c r="C67" s="205"/>
      <c r="D67" s="205"/>
      <c r="E67" s="205"/>
      <c r="F67" s="205"/>
      <c r="G67" s="205"/>
      <c r="H67" s="205"/>
      <c r="I67" s="205"/>
      <c r="J67" s="161"/>
    </row>
    <row r="68" spans="1:10" ht="14.25">
      <c r="A68" s="205" t="s">
        <v>252</v>
      </c>
      <c r="B68" s="205"/>
      <c r="C68" s="205"/>
      <c r="D68" s="205"/>
      <c r="E68" s="205"/>
      <c r="F68" s="205"/>
      <c r="G68" s="205"/>
      <c r="H68" s="205"/>
      <c r="I68" s="205"/>
      <c r="J68" s="161"/>
    </row>
    <row r="69" spans="1:10" ht="14.25">
      <c r="A69" s="205" t="s">
        <v>404</v>
      </c>
      <c r="B69" s="205"/>
      <c r="C69" s="205"/>
      <c r="D69" s="205"/>
      <c r="E69" s="205"/>
      <c r="F69" s="205"/>
      <c r="G69" s="205"/>
      <c r="H69" s="205"/>
      <c r="I69" s="205"/>
      <c r="J69" s="161"/>
    </row>
    <row r="70" spans="1:10" ht="14.25">
      <c r="A70" s="205" t="s">
        <v>365</v>
      </c>
      <c r="B70" s="205"/>
      <c r="C70" s="205"/>
      <c r="D70" s="205"/>
      <c r="E70" s="205"/>
      <c r="F70" s="205"/>
      <c r="G70" s="205"/>
      <c r="H70" s="205"/>
      <c r="I70" s="205"/>
      <c r="J70" s="161"/>
    </row>
    <row r="71" spans="1:10" ht="14.25">
      <c r="A71" s="205" t="s">
        <v>253</v>
      </c>
      <c r="B71" s="205"/>
      <c r="C71" s="205"/>
      <c r="D71" s="205"/>
      <c r="E71" s="205"/>
      <c r="F71" s="205"/>
      <c r="G71" s="205"/>
      <c r="H71" s="205"/>
      <c r="I71" s="205"/>
      <c r="J71" s="161"/>
    </row>
    <row r="72" spans="1:10" ht="14.25">
      <c r="A72" s="205" t="s">
        <v>254</v>
      </c>
      <c r="B72" s="205"/>
      <c r="C72" s="205"/>
      <c r="D72" s="205"/>
      <c r="E72" s="205"/>
      <c r="F72" s="205"/>
      <c r="G72" s="205"/>
      <c r="H72" s="205"/>
      <c r="I72" s="205"/>
      <c r="J72" s="161"/>
    </row>
    <row r="73" spans="1:10">
      <c r="A73" s="205" t="s">
        <v>255</v>
      </c>
      <c r="B73" s="205"/>
      <c r="C73" s="205"/>
      <c r="D73" s="205"/>
      <c r="E73" s="205"/>
      <c r="F73" s="205"/>
      <c r="G73" s="205"/>
      <c r="H73" s="205"/>
      <c r="I73" s="205"/>
    </row>
    <row r="74" spans="1:10">
      <c r="A74" s="205" t="s">
        <v>405</v>
      </c>
      <c r="B74" s="205"/>
      <c r="C74" s="205"/>
      <c r="D74" s="205"/>
      <c r="E74" s="205"/>
      <c r="F74" s="205"/>
      <c r="G74" s="205"/>
      <c r="H74" s="205"/>
      <c r="I74" s="205"/>
    </row>
    <row r="75" spans="1:10">
      <c r="A75" s="205" t="str">
        <f>"The Cumulative Injury Index forecast for 2020 and 2021 is based on the average change from the prior two recessions."</f>
        <v>The Cumulative Injury Index forecast for 2020 and 2021 is based on the average change from the prior two recessions.</v>
      </c>
      <c r="B75" s="205"/>
      <c r="C75" s="205"/>
      <c r="D75" s="205"/>
      <c r="E75" s="205"/>
      <c r="F75" s="205"/>
      <c r="G75" s="205"/>
      <c r="H75" s="205"/>
      <c r="I75" s="205"/>
    </row>
  </sheetData>
  <printOptions horizontalCentered="1"/>
  <pageMargins left="0.5" right="0.5" top="0.75" bottom="0.75" header="0.33" footer="0.33"/>
  <pageSetup scale="61" orientation="portrait" blackAndWhite="1" horizontalDpi="1200" verticalDpi="1200" r:id="rId1"/>
  <headerFooter scaleWithDoc="0">
    <oddHeader>&amp;R&amp;"Arial,Regular"&amp;10Exhibit 6.1</oddHeader>
  </headerFooter>
  <colBreaks count="1" manualBreakCount="1">
    <brk id="9"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50"/>
  <sheetViews>
    <sheetView workbookViewId="0"/>
  </sheetViews>
  <sheetFormatPr defaultColWidth="9.1328125" defaultRowHeight="12.75"/>
  <cols>
    <col min="1" max="1" width="4" style="110" customWidth="1"/>
    <col min="2" max="2" width="9.1328125" style="110"/>
    <col min="3" max="3" width="5" style="110" customWidth="1"/>
    <col min="4" max="4" width="9.1328125" style="110"/>
    <col min="5" max="5" width="5" style="110" customWidth="1"/>
    <col min="6" max="6" width="9.1328125" style="110"/>
    <col min="7" max="7" width="5" style="110" customWidth="1"/>
    <col min="8" max="8" width="9.1328125" style="110"/>
    <col min="9" max="9" width="5" style="110" customWidth="1"/>
    <col min="10" max="10" width="9.1328125" style="110"/>
    <col min="11" max="11" width="5" style="110" customWidth="1"/>
    <col min="12" max="12" width="9.1328125" style="110"/>
    <col min="13" max="13" width="4" style="110" customWidth="1"/>
    <col min="14" max="16384" width="9.1328125" style="110"/>
  </cols>
  <sheetData>
    <row r="1" spans="1:13" ht="13.15">
      <c r="A1" s="279" t="s">
        <v>201</v>
      </c>
      <c r="B1" s="279"/>
      <c r="C1" s="279"/>
      <c r="D1" s="279"/>
      <c r="E1" s="279"/>
      <c r="F1" s="279"/>
      <c r="G1" s="279"/>
      <c r="H1" s="279"/>
      <c r="I1" s="279"/>
      <c r="J1" s="279"/>
      <c r="K1" s="279"/>
      <c r="L1" s="279"/>
      <c r="M1" s="279"/>
    </row>
    <row r="2" spans="1:13" ht="13.15">
      <c r="A2" s="279" t="s">
        <v>516</v>
      </c>
      <c r="B2" s="279"/>
      <c r="C2" s="279"/>
      <c r="D2" s="279"/>
      <c r="E2" s="279"/>
      <c r="F2" s="279"/>
      <c r="G2" s="279"/>
      <c r="H2" s="279"/>
      <c r="I2" s="279"/>
      <c r="J2" s="279"/>
      <c r="K2" s="279"/>
      <c r="L2" s="279"/>
      <c r="M2" s="279"/>
    </row>
    <row r="3" spans="1:13">
      <c r="A3" s="10"/>
      <c r="B3" s="10"/>
      <c r="C3" s="10"/>
      <c r="D3" s="10"/>
      <c r="E3" s="10"/>
      <c r="F3" s="10"/>
      <c r="G3" s="10"/>
      <c r="H3" s="10"/>
      <c r="I3" s="10"/>
      <c r="J3" s="10"/>
      <c r="K3" s="10"/>
      <c r="L3" s="10"/>
      <c r="M3" s="10"/>
    </row>
    <row r="4" spans="1:13">
      <c r="A4" s="10"/>
      <c r="B4" s="10"/>
      <c r="C4" s="10"/>
      <c r="D4" s="27" t="s">
        <v>45</v>
      </c>
      <c r="E4" s="27"/>
      <c r="F4" s="27" t="s">
        <v>46</v>
      </c>
      <c r="G4" s="27"/>
      <c r="H4" s="27" t="s">
        <v>47</v>
      </c>
      <c r="I4" s="27"/>
      <c r="J4" s="27" t="s">
        <v>48</v>
      </c>
      <c r="K4" s="27"/>
      <c r="L4" s="27" t="s">
        <v>50</v>
      </c>
      <c r="M4" s="27"/>
    </row>
    <row r="5" spans="1:13">
      <c r="A5" s="10"/>
      <c r="B5" s="10"/>
      <c r="C5" s="10"/>
      <c r="D5" s="124" t="s">
        <v>202</v>
      </c>
      <c r="E5" s="124"/>
      <c r="F5" s="124"/>
      <c r="G5" s="10"/>
      <c r="H5" s="124" t="s">
        <v>3</v>
      </c>
      <c r="I5" s="10"/>
      <c r="J5" s="124" t="s">
        <v>55</v>
      </c>
      <c r="K5" s="124"/>
      <c r="L5" s="124"/>
      <c r="M5" s="124"/>
    </row>
    <row r="6" spans="1:13">
      <c r="A6" s="10"/>
      <c r="B6" s="124" t="s">
        <v>203</v>
      </c>
      <c r="C6" s="10"/>
      <c r="D6" s="124" t="s">
        <v>55</v>
      </c>
      <c r="E6" s="124"/>
      <c r="F6" s="124" t="s">
        <v>63</v>
      </c>
      <c r="G6" s="10"/>
      <c r="H6" s="124" t="s">
        <v>142</v>
      </c>
      <c r="I6" s="10"/>
      <c r="J6" s="124" t="s">
        <v>119</v>
      </c>
      <c r="K6" s="124"/>
      <c r="L6" s="124" t="s">
        <v>63</v>
      </c>
      <c r="M6" s="124"/>
    </row>
    <row r="7" spans="1:13">
      <c r="A7" s="10"/>
      <c r="B7" s="26" t="s">
        <v>8</v>
      </c>
      <c r="C7" s="66"/>
      <c r="D7" s="26" t="s">
        <v>204</v>
      </c>
      <c r="E7" s="26"/>
      <c r="F7" s="26" t="s">
        <v>205</v>
      </c>
      <c r="G7" s="66"/>
      <c r="H7" s="26" t="s">
        <v>208</v>
      </c>
      <c r="I7" s="66"/>
      <c r="J7" s="26" t="s">
        <v>204</v>
      </c>
      <c r="K7" s="26"/>
      <c r="L7" s="26" t="s">
        <v>205</v>
      </c>
      <c r="M7" s="26"/>
    </row>
    <row r="8" spans="1:13">
      <c r="A8" s="10"/>
      <c r="B8" s="10"/>
      <c r="C8" s="10"/>
      <c r="D8" s="75"/>
      <c r="E8" s="75"/>
      <c r="F8" s="75"/>
      <c r="G8" s="10"/>
      <c r="H8" s="57"/>
      <c r="I8" s="10"/>
      <c r="J8" s="76" t="s">
        <v>206</v>
      </c>
      <c r="K8" s="76"/>
      <c r="L8" s="124"/>
      <c r="M8" s="124"/>
    </row>
    <row r="9" spans="1:13">
      <c r="A9" s="10"/>
      <c r="B9" s="10"/>
      <c r="C9" s="10"/>
      <c r="D9" s="75"/>
      <c r="E9" s="75"/>
      <c r="F9" s="75"/>
      <c r="G9" s="10"/>
      <c r="H9" s="57"/>
      <c r="I9" s="10"/>
      <c r="J9" s="124"/>
      <c r="K9" s="124"/>
      <c r="L9" s="124"/>
      <c r="M9" s="124"/>
    </row>
    <row r="10" spans="1:13">
      <c r="A10" s="10"/>
      <c r="B10" s="162">
        <v>1990</v>
      </c>
      <c r="C10" s="10"/>
      <c r="D10" s="417">
        <v>9953.5428083990846</v>
      </c>
      <c r="E10" s="75"/>
      <c r="F10" s="77" t="s">
        <v>32</v>
      </c>
      <c r="G10" s="10"/>
      <c r="H10" s="484">
        <v>1.912253033936141</v>
      </c>
      <c r="I10" s="10"/>
      <c r="J10" s="75">
        <f t="shared" ref="J10:J34" si="0">+D10*H10</f>
        <v>19033.692433774406</v>
      </c>
      <c r="K10" s="75"/>
      <c r="L10" s="77" t="s">
        <v>32</v>
      </c>
      <c r="M10" s="77"/>
    </row>
    <row r="11" spans="1:13">
      <c r="A11" s="10"/>
      <c r="B11" s="162">
        <f>B10+1</f>
        <v>1991</v>
      </c>
      <c r="C11" s="10"/>
      <c r="D11" s="417">
        <v>10873.921604471747</v>
      </c>
      <c r="E11" s="75"/>
      <c r="F11" s="50">
        <f t="shared" ref="F11:F34" si="1">+D11/D10-1</f>
        <v>9.2467457446008039E-2</v>
      </c>
      <c r="G11" s="10"/>
      <c r="H11" s="484">
        <v>1.8084617946193475</v>
      </c>
      <c r="I11" s="10"/>
      <c r="J11" s="75">
        <f t="shared" si="0"/>
        <v>19665.071779373069</v>
      </c>
      <c r="K11" s="75"/>
      <c r="L11" s="50">
        <f t="shared" ref="L11:L34" si="2">+J11/J10-1</f>
        <v>3.3171669017741934E-2</v>
      </c>
      <c r="M11" s="50"/>
    </row>
    <row r="12" spans="1:13">
      <c r="A12" s="10"/>
      <c r="B12" s="188">
        <f t="shared" ref="B12:B39" si="3">B11+1</f>
        <v>1992</v>
      </c>
      <c r="C12" s="10"/>
      <c r="D12" s="417">
        <v>10969.659517101501</v>
      </c>
      <c r="E12" s="75"/>
      <c r="F12" s="50">
        <f t="shared" si="1"/>
        <v>8.8043592838100704E-3</v>
      </c>
      <c r="G12" s="10"/>
      <c r="H12" s="484">
        <v>1.7485089207448481</v>
      </c>
      <c r="I12" s="10"/>
      <c r="J12" s="75">
        <f t="shared" si="0"/>
        <v>19180.547523185596</v>
      </c>
      <c r="K12" s="75"/>
      <c r="L12" s="50">
        <f t="shared" si="2"/>
        <v>-2.4638824695046191E-2</v>
      </c>
      <c r="M12" s="50"/>
    </row>
    <row r="13" spans="1:13">
      <c r="A13" s="10"/>
      <c r="B13" s="188">
        <f t="shared" si="3"/>
        <v>1993</v>
      </c>
      <c r="C13" s="10"/>
      <c r="D13" s="417">
        <v>11925.842621412752</v>
      </c>
      <c r="E13" s="75"/>
      <c r="F13" s="50">
        <f t="shared" si="1"/>
        <v>8.7166160701759088E-2</v>
      </c>
      <c r="G13" s="10"/>
      <c r="H13" s="484">
        <v>1.7380666165128389</v>
      </c>
      <c r="I13" s="10"/>
      <c r="J13" s="75">
        <f t="shared" si="0"/>
        <v>20727.908934063467</v>
      </c>
      <c r="K13" s="75"/>
      <c r="L13" s="50">
        <f t="shared" si="2"/>
        <v>8.0673474467160444E-2</v>
      </c>
      <c r="M13" s="50"/>
    </row>
    <row r="14" spans="1:13">
      <c r="A14" s="10"/>
      <c r="B14" s="188">
        <f t="shared" si="3"/>
        <v>1994</v>
      </c>
      <c r="C14" s="10"/>
      <c r="D14" s="417">
        <v>12839.395356790012</v>
      </c>
      <c r="E14" s="75"/>
      <c r="F14" s="50">
        <f t="shared" si="1"/>
        <v>7.660278308024826E-2</v>
      </c>
      <c r="G14" s="10"/>
      <c r="H14" s="484">
        <v>1.8205483814843699</v>
      </c>
      <c r="I14" s="10"/>
      <c r="J14" s="75">
        <f t="shared" si="0"/>
        <v>23374.74043604199</v>
      </c>
      <c r="K14" s="75"/>
      <c r="L14" s="50">
        <f t="shared" si="2"/>
        <v>0.12769409159400635</v>
      </c>
      <c r="M14" s="50"/>
    </row>
    <row r="15" spans="1:13">
      <c r="A15" s="10"/>
      <c r="B15" s="188">
        <f t="shared" si="3"/>
        <v>1995</v>
      </c>
      <c r="C15" s="10"/>
      <c r="D15" s="417">
        <v>14380.504312305278</v>
      </c>
      <c r="E15" s="75"/>
      <c r="F15" s="50">
        <f t="shared" si="1"/>
        <v>0.12002971422639952</v>
      </c>
      <c r="G15" s="10"/>
      <c r="H15" s="484">
        <v>1.6956944026194967</v>
      </c>
      <c r="I15" s="10"/>
      <c r="J15" s="75">
        <f t="shared" si="0"/>
        <v>24384.940669221596</v>
      </c>
      <c r="K15" s="75"/>
      <c r="L15" s="50">
        <f t="shared" si="2"/>
        <v>4.3217602178031278E-2</v>
      </c>
      <c r="M15" s="50"/>
    </row>
    <row r="16" spans="1:13">
      <c r="A16" s="10"/>
      <c r="B16" s="188">
        <f t="shared" si="3"/>
        <v>1996</v>
      </c>
      <c r="C16" s="10"/>
      <c r="D16" s="417">
        <v>16123.973793375631</v>
      </c>
      <c r="E16" s="75"/>
      <c r="F16" s="50">
        <f t="shared" si="1"/>
        <v>0.12123841022588344</v>
      </c>
      <c r="G16" s="10"/>
      <c r="H16" s="484">
        <v>1.5912510487816633</v>
      </c>
      <c r="I16" s="10"/>
      <c r="J16" s="75">
        <f t="shared" si="0"/>
        <v>25657.290209237028</v>
      </c>
      <c r="K16" s="75"/>
      <c r="L16" s="50">
        <f t="shared" si="2"/>
        <v>5.2177676266458084E-2</v>
      </c>
      <c r="M16" s="50"/>
    </row>
    <row r="17" spans="1:13">
      <c r="A17" s="10"/>
      <c r="B17" s="188">
        <f t="shared" si="3"/>
        <v>1997</v>
      </c>
      <c r="C17" s="10"/>
      <c r="D17" s="417">
        <v>19154.599949650164</v>
      </c>
      <c r="E17" s="75"/>
      <c r="F17" s="50">
        <f t="shared" si="1"/>
        <v>0.18795776990903046</v>
      </c>
      <c r="G17" s="10"/>
      <c r="H17" s="484">
        <v>1.4277046282108536</v>
      </c>
      <c r="I17" s="10"/>
      <c r="J17" s="75">
        <f t="shared" si="0"/>
        <v>27347.110999642922</v>
      </c>
      <c r="K17" s="75"/>
      <c r="L17" s="50">
        <f t="shared" si="2"/>
        <v>6.586123384914333E-2</v>
      </c>
      <c r="M17" s="50"/>
    </row>
    <row r="18" spans="1:13">
      <c r="A18" s="10"/>
      <c r="B18" s="188">
        <f t="shared" si="3"/>
        <v>1998</v>
      </c>
      <c r="C18" s="10"/>
      <c r="D18" s="417">
        <v>20996.207190068799</v>
      </c>
      <c r="E18" s="75"/>
      <c r="F18" s="50">
        <f t="shared" si="1"/>
        <v>9.6144385435325663E-2</v>
      </c>
      <c r="G18" s="10"/>
      <c r="H18" s="484">
        <v>1.3168641709426141</v>
      </c>
      <c r="I18" s="10"/>
      <c r="J18" s="75">
        <f t="shared" si="0"/>
        <v>27649.152974289304</v>
      </c>
      <c r="K18" s="75"/>
      <c r="L18" s="50">
        <f t="shared" si="2"/>
        <v>1.1044748918828118E-2</v>
      </c>
      <c r="M18" s="50"/>
    </row>
    <row r="19" spans="1:13">
      <c r="A19" s="10"/>
      <c r="B19" s="188">
        <f t="shared" si="3"/>
        <v>1999</v>
      </c>
      <c r="C19" s="10"/>
      <c r="D19" s="417">
        <v>23001.881798039933</v>
      </c>
      <c r="E19" s="75"/>
      <c r="F19" s="50">
        <f t="shared" si="1"/>
        <v>9.5525567537732226E-2</v>
      </c>
      <c r="G19" s="10"/>
      <c r="H19" s="484">
        <v>1.2202259373799356</v>
      </c>
      <c r="I19" s="10"/>
      <c r="J19" s="75">
        <f t="shared" si="0"/>
        <v>28067.492778515756</v>
      </c>
      <c r="K19" s="75"/>
      <c r="L19" s="50">
        <f t="shared" si="2"/>
        <v>1.513029366995311E-2</v>
      </c>
      <c r="M19" s="50"/>
    </row>
    <row r="20" spans="1:13">
      <c r="A20" s="10"/>
      <c r="B20" s="188">
        <f t="shared" si="3"/>
        <v>2000</v>
      </c>
      <c r="C20" s="10"/>
      <c r="D20" s="417">
        <v>24427.558650192539</v>
      </c>
      <c r="E20" s="75"/>
      <c r="F20" s="50">
        <f t="shared" si="1"/>
        <v>6.198087898504423E-2</v>
      </c>
      <c r="G20" s="10"/>
      <c r="H20" s="484">
        <v>1.1391109833654645</v>
      </c>
      <c r="I20" s="10"/>
      <c r="J20" s="75">
        <f t="shared" si="0"/>
        <v>27825.700355238379</v>
      </c>
      <c r="K20" s="75"/>
      <c r="L20" s="50">
        <f t="shared" si="2"/>
        <v>-8.6146783820483241E-3</v>
      </c>
      <c r="M20" s="50"/>
    </row>
    <row r="21" spans="1:13">
      <c r="A21" s="10"/>
      <c r="B21" s="188">
        <f t="shared" si="3"/>
        <v>2001</v>
      </c>
      <c r="C21" s="10"/>
      <c r="D21" s="417">
        <v>26899.128264427298</v>
      </c>
      <c r="E21" s="75"/>
      <c r="F21" s="50">
        <f t="shared" si="1"/>
        <v>0.10117955910486698</v>
      </c>
      <c r="G21" s="10"/>
      <c r="H21" s="484">
        <v>1.1402580829969593</v>
      </c>
      <c r="I21" s="10"/>
      <c r="J21" s="75">
        <f t="shared" si="0"/>
        <v>30671.948429085194</v>
      </c>
      <c r="K21" s="75"/>
      <c r="L21" s="50">
        <f t="shared" si="2"/>
        <v>0.10228846129693148</v>
      </c>
      <c r="M21" s="50"/>
    </row>
    <row r="22" spans="1:13">
      <c r="A22" s="10"/>
      <c r="B22" s="188">
        <f t="shared" si="3"/>
        <v>2002</v>
      </c>
      <c r="C22" s="10"/>
      <c r="D22" s="417">
        <v>26007.307593020905</v>
      </c>
      <c r="E22" s="75"/>
      <c r="F22" s="50">
        <f t="shared" si="1"/>
        <v>-3.3154259225038896E-2</v>
      </c>
      <c r="G22" s="10"/>
      <c r="H22" s="484">
        <v>1.1679432297537702</v>
      </c>
      <c r="I22" s="10"/>
      <c r="J22" s="75">
        <f t="shared" si="0"/>
        <v>30375.058827392586</v>
      </c>
      <c r="K22" s="75"/>
      <c r="L22" s="50">
        <f t="shared" si="2"/>
        <v>-9.6795155475377648E-3</v>
      </c>
      <c r="M22" s="50"/>
    </row>
    <row r="23" spans="1:13">
      <c r="A23" s="10"/>
      <c r="B23" s="188">
        <f t="shared" si="3"/>
        <v>2003</v>
      </c>
      <c r="C23" s="10"/>
      <c r="D23" s="417">
        <v>25682.714830087771</v>
      </c>
      <c r="E23" s="75"/>
      <c r="F23" s="50">
        <f t="shared" si="1"/>
        <v>-1.2480829158195483E-2</v>
      </c>
      <c r="G23" s="10"/>
      <c r="H23" s="484">
        <v>1.1643293758839994</v>
      </c>
      <c r="I23" s="10"/>
      <c r="J23" s="75">
        <f t="shared" si="0"/>
        <v>29903.139329122831</v>
      </c>
      <c r="K23" s="75"/>
      <c r="L23" s="50">
        <f t="shared" si="2"/>
        <v>-1.5536414298041534E-2</v>
      </c>
      <c r="M23" s="50"/>
    </row>
    <row r="24" spans="1:13">
      <c r="A24" s="10"/>
      <c r="B24" s="188">
        <f t="shared" si="3"/>
        <v>2004</v>
      </c>
      <c r="C24" s="10"/>
      <c r="D24" s="417">
        <v>20973.038575812352</v>
      </c>
      <c r="E24" s="75"/>
      <c r="F24" s="50">
        <f t="shared" si="1"/>
        <v>-0.18337922160619669</v>
      </c>
      <c r="G24" s="10"/>
      <c r="H24" s="484">
        <v>1.3754818832925217</v>
      </c>
      <c r="I24" s="10"/>
      <c r="J24" s="75">
        <f t="shared" si="0"/>
        <v>28848.034598625083</v>
      </c>
      <c r="K24" s="75"/>
      <c r="L24" s="50">
        <f t="shared" si="2"/>
        <v>-3.5284079002038893E-2</v>
      </c>
      <c r="M24" s="50"/>
    </row>
    <row r="25" spans="1:13">
      <c r="A25" s="10"/>
      <c r="B25" s="188">
        <f t="shared" si="3"/>
        <v>2005</v>
      </c>
      <c r="C25" s="10"/>
      <c r="D25" s="417">
        <v>18968.998458981448</v>
      </c>
      <c r="E25" s="75"/>
      <c r="F25" s="50">
        <f t="shared" si="1"/>
        <v>-9.5553160291332762E-2</v>
      </c>
      <c r="G25" s="10"/>
      <c r="H25" s="484">
        <v>1.5789892242227561</v>
      </c>
      <c r="I25" s="10"/>
      <c r="J25" s="75">
        <f t="shared" si="0"/>
        <v>29951.844161029774</v>
      </c>
      <c r="K25" s="75"/>
      <c r="L25" s="50">
        <f t="shared" si="2"/>
        <v>3.8262903444288732E-2</v>
      </c>
      <c r="M25" s="50"/>
    </row>
    <row r="26" spans="1:13">
      <c r="A26" s="10"/>
      <c r="B26" s="188">
        <f t="shared" si="3"/>
        <v>2006</v>
      </c>
      <c r="C26" s="10"/>
      <c r="D26" s="417">
        <v>20658.304634176737</v>
      </c>
      <c r="E26" s="75"/>
      <c r="F26" s="50">
        <f t="shared" si="1"/>
        <v>8.9056160706019405E-2</v>
      </c>
      <c r="G26" s="10"/>
      <c r="H26" s="484">
        <v>1.4630674629947558</v>
      </c>
      <c r="I26" s="10"/>
      <c r="J26" s="75">
        <f t="shared" si="0"/>
        <v>30224.493350897763</v>
      </c>
      <c r="K26" s="75"/>
      <c r="L26" s="50">
        <f t="shared" si="2"/>
        <v>9.1029182845019374E-3</v>
      </c>
      <c r="M26" s="50"/>
    </row>
    <row r="27" spans="1:13">
      <c r="A27" s="10"/>
      <c r="B27" s="188">
        <f t="shared" si="3"/>
        <v>2007</v>
      </c>
      <c r="C27" s="10"/>
      <c r="D27" s="417">
        <v>22497.846464760099</v>
      </c>
      <c r="E27" s="75"/>
      <c r="F27" s="50">
        <f t="shared" si="1"/>
        <v>8.9046117924897805E-2</v>
      </c>
      <c r="G27" s="10"/>
      <c r="H27" s="484">
        <v>1.4104084529937801</v>
      </c>
      <c r="I27" s="10"/>
      <c r="J27" s="75">
        <f t="shared" si="0"/>
        <v>31731.152828053877</v>
      </c>
      <c r="K27" s="75"/>
      <c r="L27" s="50">
        <f t="shared" si="2"/>
        <v>4.984895725675953E-2</v>
      </c>
      <c r="M27" s="50"/>
    </row>
    <row r="28" spans="1:13">
      <c r="A28" s="10"/>
      <c r="B28" s="188">
        <f t="shared" si="3"/>
        <v>2008</v>
      </c>
      <c r="C28" s="10"/>
      <c r="D28" s="417">
        <v>24516.6329945035</v>
      </c>
      <c r="E28" s="75"/>
      <c r="F28" s="50">
        <f t="shared" si="1"/>
        <v>8.9732434297903119E-2</v>
      </c>
      <c r="G28" s="10"/>
      <c r="H28" s="484">
        <v>1.3324847451003137</v>
      </c>
      <c r="I28" s="10"/>
      <c r="J28" s="75">
        <f t="shared" si="0"/>
        <v>32668.039466398935</v>
      </c>
      <c r="K28" s="75"/>
      <c r="L28" s="50">
        <f t="shared" si="2"/>
        <v>2.9525767419226856E-2</v>
      </c>
      <c r="M28" s="50"/>
    </row>
    <row r="29" spans="1:13">
      <c r="A29" s="10"/>
      <c r="B29" s="188">
        <f t="shared" si="3"/>
        <v>2009</v>
      </c>
      <c r="C29" s="10"/>
      <c r="D29" s="417">
        <v>25708.496592671887</v>
      </c>
      <c r="E29" s="75"/>
      <c r="F29" s="50">
        <f t="shared" si="1"/>
        <v>4.8614489535965033E-2</v>
      </c>
      <c r="G29" s="10"/>
      <c r="H29" s="484">
        <v>1.3245269869626421</v>
      </c>
      <c r="I29" s="10"/>
      <c r="J29" s="75">
        <f t="shared" si="0"/>
        <v>34051.597531231047</v>
      </c>
      <c r="K29" s="75"/>
      <c r="L29" s="50">
        <f t="shared" si="2"/>
        <v>4.2352038488724819E-2</v>
      </c>
      <c r="M29" s="50"/>
    </row>
    <row r="30" spans="1:13">
      <c r="A30" s="10"/>
      <c r="B30" s="188">
        <f t="shared" si="3"/>
        <v>2010</v>
      </c>
      <c r="C30" s="10"/>
      <c r="D30" s="417">
        <v>25219.992511521421</v>
      </c>
      <c r="E30" s="75"/>
      <c r="F30" s="50">
        <f t="shared" si="1"/>
        <v>-1.900165882472149E-2</v>
      </c>
      <c r="G30" s="10"/>
      <c r="H30" s="484">
        <v>1.2997536817877675</v>
      </c>
      <c r="I30" s="10"/>
      <c r="J30" s="75">
        <f t="shared" si="0"/>
        <v>32779.778121509895</v>
      </c>
      <c r="K30" s="75"/>
      <c r="L30" s="50">
        <f t="shared" si="2"/>
        <v>-3.7349772167214135E-2</v>
      </c>
      <c r="M30" s="50"/>
    </row>
    <row r="31" spans="1:13">
      <c r="A31" s="10"/>
      <c r="B31" s="188">
        <f t="shared" si="3"/>
        <v>2011</v>
      </c>
      <c r="C31" s="10"/>
      <c r="D31" s="417">
        <v>24941.047258066195</v>
      </c>
      <c r="E31" s="75"/>
      <c r="F31" s="50">
        <f t="shared" si="1"/>
        <v>-1.1060481216550455E-2</v>
      </c>
      <c r="G31" s="10"/>
      <c r="H31" s="484">
        <v>1.2818083646822165</v>
      </c>
      <c r="I31" s="10"/>
      <c r="J31" s="75">
        <f t="shared" si="0"/>
        <v>31969.642999323711</v>
      </c>
      <c r="K31" s="75"/>
      <c r="L31" s="50">
        <f t="shared" si="2"/>
        <v>-2.4714478517308125E-2</v>
      </c>
      <c r="M31" s="50"/>
    </row>
    <row r="32" spans="1:13">
      <c r="A32" s="10"/>
      <c r="B32" s="188">
        <f t="shared" si="3"/>
        <v>2012</v>
      </c>
      <c r="C32" s="10"/>
      <c r="D32" s="417">
        <v>24369.190271049374</v>
      </c>
      <c r="E32" s="75"/>
      <c r="F32" s="50">
        <f t="shared" si="1"/>
        <v>-2.2928347037708185E-2</v>
      </c>
      <c r="G32" s="10"/>
      <c r="H32" s="484">
        <v>1.2659306932254684</v>
      </c>
      <c r="I32" s="10"/>
      <c r="J32" s="75">
        <f t="shared" si="0"/>
        <v>30849.705933172874</v>
      </c>
      <c r="K32" s="75"/>
      <c r="L32" s="50">
        <f t="shared" si="2"/>
        <v>-3.5031265947340295E-2</v>
      </c>
      <c r="M32" s="50"/>
    </row>
    <row r="33" spans="1:13">
      <c r="A33" s="10"/>
      <c r="B33" s="188">
        <f t="shared" si="3"/>
        <v>2013</v>
      </c>
      <c r="C33" s="10"/>
      <c r="D33" s="417">
        <v>23827.12816254175</v>
      </c>
      <c r="E33" s="75"/>
      <c r="F33" s="50">
        <f t="shared" si="1"/>
        <v>-2.2243747226660782E-2</v>
      </c>
      <c r="G33" s="10"/>
      <c r="H33" s="484">
        <v>1.2404466532712342</v>
      </c>
      <c r="I33" s="10"/>
      <c r="J33" s="75">
        <f t="shared" si="0"/>
        <v>29556.281386289684</v>
      </c>
      <c r="K33" s="75"/>
      <c r="L33" s="50">
        <f t="shared" si="2"/>
        <v>-4.1926641041085677E-2</v>
      </c>
      <c r="M33" s="50"/>
    </row>
    <row r="34" spans="1:13">
      <c r="A34" s="10"/>
      <c r="B34" s="188">
        <f t="shared" si="3"/>
        <v>2014</v>
      </c>
      <c r="C34" s="10"/>
      <c r="D34" s="417">
        <v>24764.897229922997</v>
      </c>
      <c r="E34" s="75"/>
      <c r="F34" s="50">
        <f t="shared" si="1"/>
        <v>3.9357200791637847E-2</v>
      </c>
      <c r="G34" s="10"/>
      <c r="H34" s="484">
        <v>1.1529950817673118</v>
      </c>
      <c r="I34" s="10"/>
      <c r="J34" s="75">
        <f t="shared" si="0"/>
        <v>28553.804706574141</v>
      </c>
      <c r="K34" s="75"/>
      <c r="L34" s="50">
        <f t="shared" si="2"/>
        <v>-3.3917550946735875E-2</v>
      </c>
      <c r="M34" s="50"/>
    </row>
    <row r="35" spans="1:13">
      <c r="A35" s="10"/>
      <c r="B35" s="188">
        <f t="shared" si="3"/>
        <v>2015</v>
      </c>
      <c r="C35" s="10"/>
      <c r="D35" s="417">
        <v>24942.720090701656</v>
      </c>
      <c r="E35" s="75"/>
      <c r="F35" s="50">
        <f>+D35/D34-1</f>
        <v>7.1804400853237027E-3</v>
      </c>
      <c r="G35" s="10"/>
      <c r="H35" s="484">
        <v>1.1366001086808619</v>
      </c>
      <c r="I35" s="10"/>
      <c r="J35" s="75">
        <f>+D35*H35</f>
        <v>28349.898365887821</v>
      </c>
      <c r="K35" s="50"/>
      <c r="L35" s="50">
        <f>+J35/J34-1</f>
        <v>-7.141126822912458E-3</v>
      </c>
      <c r="M35" s="50"/>
    </row>
    <row r="36" spans="1:13">
      <c r="A36" s="166"/>
      <c r="B36" s="188">
        <f t="shared" si="3"/>
        <v>2016</v>
      </c>
      <c r="C36" s="166"/>
      <c r="D36" s="417">
        <v>24266.194099153352</v>
      </c>
      <c r="E36" s="75"/>
      <c r="F36" s="50">
        <f>+D36/D35-1</f>
        <v>-2.7123184203173722E-2</v>
      </c>
      <c r="G36" s="166"/>
      <c r="H36" s="484">
        <v>1.1223163880106504</v>
      </c>
      <c r="I36" s="166"/>
      <c r="J36" s="75">
        <f>+D36*H36</f>
        <v>27234.347312127149</v>
      </c>
      <c r="K36" s="50"/>
      <c r="L36" s="50">
        <f>+J36/J35-1</f>
        <v>-3.9349384585553371E-2</v>
      </c>
      <c r="M36" s="50"/>
    </row>
    <row r="37" spans="1:13">
      <c r="A37" s="223"/>
      <c r="B37" s="225">
        <f t="shared" si="3"/>
        <v>2017</v>
      </c>
      <c r="C37" s="223"/>
      <c r="D37" s="417">
        <v>24248.357832657119</v>
      </c>
      <c r="E37" s="75"/>
      <c r="F37" s="50">
        <f>+D37/D36-1</f>
        <v>-7.3502529582314402E-4</v>
      </c>
      <c r="G37" s="223"/>
      <c r="H37" s="484">
        <v>1.0930197426407533</v>
      </c>
      <c r="I37" s="223"/>
      <c r="J37" s="75">
        <f>+D37*H37</f>
        <v>26503.933837711778</v>
      </c>
      <c r="K37" s="50"/>
      <c r="L37" s="50">
        <f>+J37/J36-1</f>
        <v>-2.681956964285781E-2</v>
      </c>
      <c r="M37" s="50"/>
    </row>
    <row r="38" spans="1:13">
      <c r="A38" s="319"/>
      <c r="B38" s="286">
        <f t="shared" si="3"/>
        <v>2018</v>
      </c>
      <c r="C38" s="319"/>
      <c r="D38" s="417">
        <v>25100.55464661881</v>
      </c>
      <c r="E38" s="75"/>
      <c r="F38" s="50">
        <f t="shared" ref="F38:F39" si="4">+D38/D37-1</f>
        <v>3.5144516583055951E-2</v>
      </c>
      <c r="G38" s="319"/>
      <c r="H38" s="484">
        <v>1.0648057964143225</v>
      </c>
      <c r="I38" s="319"/>
      <c r="J38" s="75">
        <f>+D38*H38</f>
        <v>26727.216080934166</v>
      </c>
      <c r="K38" s="50"/>
      <c r="L38" s="50">
        <f>+J38/J37-1</f>
        <v>8.4244944388098819E-3</v>
      </c>
      <c r="M38" s="50"/>
    </row>
    <row r="39" spans="1:13">
      <c r="A39" s="265"/>
      <c r="B39" s="286">
        <f t="shared" si="3"/>
        <v>2019</v>
      </c>
      <c r="C39" s="265"/>
      <c r="D39" s="417">
        <v>25985.15721637907</v>
      </c>
      <c r="E39" s="75"/>
      <c r="F39" s="50">
        <f t="shared" si="4"/>
        <v>3.5242351502356994E-2</v>
      </c>
      <c r="G39" s="265"/>
      <c r="H39" s="484">
        <v>1.0360161508028909</v>
      </c>
      <c r="I39" s="265"/>
      <c r="J39" s="75">
        <f>+D39*H39</f>
        <v>26921.042557321005</v>
      </c>
      <c r="K39" s="50"/>
      <c r="L39" s="50">
        <f>+J39/J38-1</f>
        <v>7.2520263913720129E-3</v>
      </c>
      <c r="M39" s="50"/>
    </row>
    <row r="40" spans="1:13">
      <c r="A40" s="10"/>
      <c r="B40" s="10"/>
      <c r="C40" s="10"/>
      <c r="D40" s="10"/>
      <c r="E40" s="10"/>
      <c r="F40" s="10"/>
      <c r="G40" s="10"/>
      <c r="H40" s="10"/>
      <c r="I40" s="10"/>
      <c r="J40" s="10"/>
      <c r="K40" s="10"/>
      <c r="L40" s="10"/>
      <c r="M40" s="10"/>
    </row>
    <row r="41" spans="1:13">
      <c r="A41" s="10"/>
      <c r="B41" s="55" t="s">
        <v>51</v>
      </c>
      <c r="C41" s="44" t="str">
        <f>"Estimated Annual Exponential Trend Based on "&amp;$B$10&amp;" to "&amp;$B$39&amp;":"</f>
        <v>Estimated Annual Exponential Trend Based on 1990 to 2019:</v>
      </c>
      <c r="D41" s="44"/>
      <c r="E41" s="44"/>
      <c r="F41" s="44"/>
      <c r="G41" s="44"/>
      <c r="H41" s="44"/>
      <c r="I41" s="44"/>
      <c r="J41" s="44"/>
      <c r="K41" s="78"/>
      <c r="L41" s="482">
        <f>LOGEST($J$10:$J$39)-1</f>
        <v>1.1209795520804366E-2</v>
      </c>
      <c r="M41" s="50"/>
    </row>
    <row r="42" spans="1:13">
      <c r="A42" s="10"/>
      <c r="B42" s="55" t="s">
        <v>131</v>
      </c>
      <c r="C42" s="44" t="str">
        <f>"Estimated Annual Exponential Trend Based on "&amp;$B$25&amp;" to "&amp;$B$39&amp;":"</f>
        <v>Estimated Annual Exponential Trend Based on 2005 to 2019:</v>
      </c>
      <c r="D42" s="44"/>
      <c r="E42" s="44"/>
      <c r="F42" s="44"/>
      <c r="G42" s="44"/>
      <c r="H42" s="44"/>
      <c r="I42" s="44"/>
      <c r="J42" s="44"/>
      <c r="K42" s="78"/>
      <c r="L42" s="482">
        <f>LOGEST($J$25:$J$39)-1</f>
        <v>-1.4242587924188421E-2</v>
      </c>
      <c r="M42" s="50"/>
    </row>
    <row r="43" spans="1:13">
      <c r="A43" s="260"/>
      <c r="B43" s="55" t="s">
        <v>218</v>
      </c>
      <c r="C43" s="44" t="str">
        <f>"Estimated Annual Exponential Trend Based on "&amp;$B$35&amp;" to "&amp;$B$39&amp;":"</f>
        <v>Estimated Annual Exponential Trend Based on 2015 to 2019:</v>
      </c>
      <c r="D43" s="44"/>
      <c r="E43" s="44"/>
      <c r="F43" s="44"/>
      <c r="G43" s="44"/>
      <c r="H43" s="44"/>
      <c r="I43" s="44"/>
      <c r="J43" s="44"/>
      <c r="K43" s="78"/>
      <c r="L43" s="482">
        <f>LOGEST($J$35:$J$39)-1</f>
        <v>-1.214830588743665E-2</v>
      </c>
      <c r="M43" s="50"/>
    </row>
    <row r="44" spans="1:13">
      <c r="A44" s="10"/>
      <c r="B44" s="55"/>
      <c r="C44" s="10"/>
      <c r="D44" s="10"/>
      <c r="E44" s="10"/>
      <c r="F44" s="10"/>
      <c r="G44" s="10"/>
      <c r="H44" s="10"/>
      <c r="I44" s="10"/>
      <c r="J44" s="10"/>
      <c r="K44" s="50"/>
      <c r="L44" s="50"/>
      <c r="M44" s="50"/>
    </row>
    <row r="45" spans="1:13">
      <c r="A45" s="10"/>
      <c r="B45" s="55"/>
      <c r="C45" s="10"/>
      <c r="D45" s="10"/>
      <c r="E45" s="10"/>
      <c r="F45" s="10"/>
      <c r="G45" s="10"/>
      <c r="H45" s="10"/>
      <c r="I45" s="10"/>
      <c r="J45" s="50"/>
      <c r="K45" s="50"/>
      <c r="L45" s="288">
        <v>0.01</v>
      </c>
      <c r="M45" s="50"/>
    </row>
    <row r="46" spans="1:13">
      <c r="A46" s="10"/>
      <c r="B46" s="55"/>
      <c r="C46" s="10"/>
      <c r="D46" s="10"/>
      <c r="E46" s="10"/>
      <c r="F46" s="10"/>
      <c r="G46" s="10"/>
      <c r="H46" s="10"/>
      <c r="I46" s="10"/>
      <c r="J46" s="50"/>
      <c r="K46" s="50"/>
      <c r="L46" s="50"/>
      <c r="M46" s="50"/>
    </row>
    <row r="47" spans="1:13">
      <c r="A47" s="10"/>
      <c r="B47" s="55"/>
      <c r="C47" s="10"/>
      <c r="D47" s="10"/>
      <c r="E47" s="10"/>
      <c r="F47" s="10"/>
      <c r="G47" s="10"/>
      <c r="H47" s="10"/>
      <c r="I47" s="10"/>
      <c r="J47" s="50"/>
      <c r="K47" s="50"/>
      <c r="L47" s="50"/>
      <c r="M47" s="50"/>
    </row>
    <row r="48" spans="1:13">
      <c r="A48" s="10"/>
      <c r="B48" s="49" t="s">
        <v>342</v>
      </c>
      <c r="C48" s="10"/>
      <c r="D48" s="10"/>
      <c r="E48" s="10"/>
      <c r="F48" s="10"/>
      <c r="G48" s="10"/>
      <c r="H48" s="10"/>
      <c r="I48" s="10"/>
      <c r="J48" s="50"/>
      <c r="K48" s="50"/>
      <c r="L48" s="50"/>
      <c r="M48" s="50"/>
    </row>
    <row r="49" spans="1:13">
      <c r="A49" s="10"/>
      <c r="B49" s="10"/>
      <c r="C49" s="10"/>
      <c r="D49" s="10"/>
      <c r="E49" s="10"/>
      <c r="F49" s="10"/>
      <c r="G49" s="10"/>
      <c r="H49" s="10"/>
      <c r="I49" s="10"/>
      <c r="J49" s="50"/>
      <c r="K49" s="50"/>
      <c r="L49" s="50"/>
      <c r="M49" s="50"/>
    </row>
    <row r="50" spans="1:13">
      <c r="A50" s="10"/>
      <c r="B50" s="10" t="s">
        <v>207</v>
      </c>
      <c r="C50" s="10"/>
      <c r="D50" s="10"/>
      <c r="E50" s="10"/>
      <c r="F50" s="10"/>
      <c r="G50" s="10"/>
      <c r="H50" s="10"/>
      <c r="I50" s="10"/>
      <c r="J50" s="50"/>
      <c r="K50" s="50"/>
      <c r="L50" s="50"/>
      <c r="M50" s="50"/>
    </row>
  </sheetData>
  <printOptions horizontalCentered="1"/>
  <pageMargins left="0.5" right="0.5" top="0.75" bottom="0.75" header="0.33" footer="0.33"/>
  <pageSetup orientation="portrait" blackAndWhite="1" r:id="rId1"/>
  <headerFooter scaleWithDoc="0">
    <oddHeader>&amp;R&amp;"Arial,Regular"&amp;10Exhibit 6.2</oddHeader>
  </headerFooter>
  <ignoredErrors>
    <ignoredError sqref="D4:L4"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49"/>
  <sheetViews>
    <sheetView zoomScaleNormal="100" workbookViewId="0"/>
  </sheetViews>
  <sheetFormatPr defaultColWidth="9.1328125" defaultRowHeight="12.75"/>
  <cols>
    <col min="1" max="1" width="4" style="184" customWidth="1"/>
    <col min="2" max="2" width="9.1328125" style="184"/>
    <col min="3" max="3" width="5" style="184" customWidth="1"/>
    <col min="4" max="4" width="9.1328125" style="184"/>
    <col min="5" max="5" width="5" style="184" customWidth="1"/>
    <col min="6" max="6" width="9.1328125" style="184"/>
    <col min="7" max="7" width="5" style="184" customWidth="1"/>
    <col min="8" max="8" width="9.1328125" style="184"/>
    <col min="9" max="9" width="5" style="184" customWidth="1"/>
    <col min="10" max="10" width="9.1328125" style="184"/>
    <col min="11" max="11" width="5" style="184" customWidth="1"/>
    <col min="12" max="12" width="9.1328125" style="184"/>
    <col min="13" max="13" width="5" style="184" customWidth="1"/>
    <col min="14" max="16384" width="9.1328125" style="184"/>
  </cols>
  <sheetData>
    <row r="1" spans="1:13" ht="13.15">
      <c r="A1" s="279" t="s">
        <v>209</v>
      </c>
      <c r="B1" s="279"/>
      <c r="C1" s="279"/>
      <c r="D1" s="279"/>
      <c r="E1" s="279"/>
      <c r="F1" s="279"/>
      <c r="G1" s="279"/>
      <c r="H1" s="279"/>
      <c r="I1" s="279"/>
      <c r="J1" s="279"/>
      <c r="K1" s="279"/>
      <c r="L1" s="279"/>
      <c r="M1" s="279"/>
    </row>
    <row r="2" spans="1:13" ht="13.15">
      <c r="A2" s="279" t="s">
        <v>516</v>
      </c>
      <c r="B2" s="279"/>
      <c r="C2" s="279"/>
      <c r="D2" s="279"/>
      <c r="E2" s="279"/>
      <c r="F2" s="279"/>
      <c r="G2" s="279"/>
      <c r="H2" s="279"/>
      <c r="I2" s="279"/>
      <c r="J2" s="279"/>
      <c r="K2" s="279"/>
      <c r="L2" s="279"/>
      <c r="M2" s="279"/>
    </row>
    <row r="4" spans="1:13">
      <c r="D4" s="27" t="s">
        <v>45</v>
      </c>
      <c r="E4" s="27"/>
      <c r="F4" s="27" t="s">
        <v>46</v>
      </c>
      <c r="H4" s="27" t="s">
        <v>47</v>
      </c>
      <c r="J4" s="27" t="s">
        <v>48</v>
      </c>
      <c r="K4" s="27"/>
      <c r="L4" s="27" t="s">
        <v>50</v>
      </c>
    </row>
    <row r="5" spans="1:13">
      <c r="D5" s="188" t="s">
        <v>202</v>
      </c>
      <c r="E5" s="188"/>
      <c r="F5" s="188"/>
      <c r="G5" s="56"/>
      <c r="H5" s="188" t="s">
        <v>5</v>
      </c>
      <c r="I5" s="56"/>
      <c r="J5" s="188" t="s">
        <v>55</v>
      </c>
      <c r="K5" s="188"/>
      <c r="L5" s="188"/>
      <c r="M5" s="188"/>
    </row>
    <row r="6" spans="1:13">
      <c r="B6" s="188" t="s">
        <v>203</v>
      </c>
      <c r="D6" s="188" t="s">
        <v>55</v>
      </c>
      <c r="E6" s="188"/>
      <c r="F6" s="188" t="s">
        <v>63</v>
      </c>
      <c r="G6" s="56"/>
      <c r="H6" s="188" t="s">
        <v>142</v>
      </c>
      <c r="I6" s="56"/>
      <c r="J6" s="188" t="s">
        <v>119</v>
      </c>
      <c r="K6" s="188"/>
      <c r="L6" s="188" t="s">
        <v>63</v>
      </c>
      <c r="M6" s="188"/>
    </row>
    <row r="7" spans="1:13">
      <c r="B7" s="26" t="s">
        <v>8</v>
      </c>
      <c r="C7" s="183"/>
      <c r="D7" s="26" t="s">
        <v>211</v>
      </c>
      <c r="E7" s="26"/>
      <c r="F7" s="26" t="s">
        <v>205</v>
      </c>
      <c r="G7" s="79"/>
      <c r="H7" s="26" t="s">
        <v>212</v>
      </c>
      <c r="I7" s="79"/>
      <c r="J7" s="26" t="s">
        <v>204</v>
      </c>
      <c r="K7" s="26"/>
      <c r="L7" s="26" t="s">
        <v>205</v>
      </c>
      <c r="M7" s="26"/>
    </row>
    <row r="8" spans="1:13">
      <c r="B8" s="188"/>
      <c r="D8" s="75"/>
      <c r="E8" s="75"/>
      <c r="F8" s="75"/>
      <c r="H8" s="57"/>
      <c r="J8" s="76" t="s">
        <v>206</v>
      </c>
      <c r="L8" s="188"/>
    </row>
    <row r="9" spans="1:13">
      <c r="B9" s="188"/>
      <c r="D9" s="75"/>
      <c r="E9" s="75"/>
      <c r="F9" s="75"/>
      <c r="H9" s="57"/>
      <c r="L9" s="188"/>
    </row>
    <row r="10" spans="1:13">
      <c r="B10" s="188">
        <f>+'Exhibit 6.2'!B10</f>
        <v>1990</v>
      </c>
      <c r="D10" s="417">
        <v>8777.4571470733517</v>
      </c>
      <c r="E10" s="75"/>
      <c r="F10" s="77" t="s">
        <v>32</v>
      </c>
      <c r="H10" s="484">
        <v>0.91672101601378764</v>
      </c>
      <c r="J10" s="75">
        <f t="shared" ref="J10:J35" si="0">+ROUND(H10*D10,0)</f>
        <v>8046</v>
      </c>
      <c r="K10" s="77"/>
      <c r="L10" s="77" t="s">
        <v>32</v>
      </c>
      <c r="M10" s="77"/>
    </row>
    <row r="11" spans="1:13">
      <c r="B11" s="188">
        <f>+'Exhibit 6.2'!B11</f>
        <v>1991</v>
      </c>
      <c r="D11" s="417">
        <v>9449.1501892308061</v>
      </c>
      <c r="E11" s="75"/>
      <c r="F11" s="50">
        <f t="shared" ref="F11:F28" si="1">+D11/D10-1</f>
        <v>7.6524787407411754E-2</v>
      </c>
      <c r="H11" s="484">
        <v>0.89925390810279882</v>
      </c>
      <c r="J11" s="75">
        <f t="shared" si="0"/>
        <v>8497</v>
      </c>
      <c r="K11" s="50"/>
      <c r="L11" s="50">
        <f t="shared" ref="L11:L30" si="2">+J11/J10-1</f>
        <v>5.6052696992294315E-2</v>
      </c>
      <c r="M11" s="50"/>
    </row>
    <row r="12" spans="1:13">
      <c r="B12" s="188">
        <f>+'Exhibit 6.2'!B12</f>
        <v>1992</v>
      </c>
      <c r="D12" s="417">
        <v>9504.568733903574</v>
      </c>
      <c r="E12" s="75"/>
      <c r="F12" s="50">
        <f t="shared" si="1"/>
        <v>5.8649236770442759E-3</v>
      </c>
      <c r="H12" s="484">
        <v>0.86871845442959839</v>
      </c>
      <c r="J12" s="75">
        <f t="shared" si="0"/>
        <v>8257</v>
      </c>
      <c r="K12" s="50"/>
      <c r="L12" s="50">
        <f t="shared" si="2"/>
        <v>-2.824526303401198E-2</v>
      </c>
      <c r="M12" s="50"/>
    </row>
    <row r="13" spans="1:13">
      <c r="B13" s="188">
        <f>+'Exhibit 6.2'!B13</f>
        <v>1993</v>
      </c>
      <c r="D13" s="417">
        <v>10370.989004502511</v>
      </c>
      <c r="E13" s="75"/>
      <c r="F13" s="50">
        <f t="shared" si="1"/>
        <v>9.115829395902475E-2</v>
      </c>
      <c r="H13" s="484">
        <v>0.8518426006677694</v>
      </c>
      <c r="J13" s="75">
        <f t="shared" si="0"/>
        <v>8834</v>
      </c>
      <c r="K13" s="50"/>
      <c r="L13" s="50">
        <f t="shared" si="2"/>
        <v>6.9880101731863764E-2</v>
      </c>
      <c r="M13" s="50"/>
    </row>
    <row r="14" spans="1:13">
      <c r="B14" s="188">
        <f>+'Exhibit 6.2'!B14</f>
        <v>1994</v>
      </c>
      <c r="D14" s="417">
        <v>11335.044036703839</v>
      </c>
      <c r="E14" s="75"/>
      <c r="F14" s="50">
        <f t="shared" si="1"/>
        <v>9.2956904282010866E-2</v>
      </c>
      <c r="H14" s="484">
        <v>0.89517065049292832</v>
      </c>
      <c r="J14" s="75">
        <f t="shared" si="0"/>
        <v>10147</v>
      </c>
      <c r="K14" s="50"/>
      <c r="L14" s="50">
        <f t="shared" si="2"/>
        <v>0.14863029205342992</v>
      </c>
      <c r="M14" s="50"/>
    </row>
    <row r="15" spans="1:13">
      <c r="B15" s="188">
        <f>+'Exhibit 6.2'!B15</f>
        <v>1995</v>
      </c>
      <c r="D15" s="417">
        <v>13040.669085723397</v>
      </c>
      <c r="E15" s="75"/>
      <c r="F15" s="50">
        <f t="shared" si="1"/>
        <v>0.15047361470291598</v>
      </c>
      <c r="H15" s="484">
        <v>0.88718597670260502</v>
      </c>
      <c r="J15" s="75">
        <f t="shared" si="0"/>
        <v>11569</v>
      </c>
      <c r="K15" s="50"/>
      <c r="L15" s="50">
        <f t="shared" si="2"/>
        <v>0.14013994284024833</v>
      </c>
      <c r="M15" s="50"/>
    </row>
    <row r="16" spans="1:13">
      <c r="B16" s="188">
        <f>+'Exhibit 6.2'!B16</f>
        <v>1996</v>
      </c>
      <c r="D16" s="417">
        <v>14040.75936574001</v>
      </c>
      <c r="E16" s="75"/>
      <c r="F16" s="50">
        <f t="shared" si="1"/>
        <v>7.6690104889747257E-2</v>
      </c>
      <c r="H16" s="484">
        <v>0.8784019571312921</v>
      </c>
      <c r="J16" s="75">
        <f t="shared" si="0"/>
        <v>12333</v>
      </c>
      <c r="K16" s="50"/>
      <c r="L16" s="50">
        <f t="shared" si="2"/>
        <v>6.6038551300890314E-2</v>
      </c>
      <c r="M16" s="50"/>
    </row>
    <row r="17" spans="2:13">
      <c r="B17" s="188">
        <f>+'Exhibit 6.2'!B17</f>
        <v>1997</v>
      </c>
      <c r="D17" s="417">
        <v>16729.613244020362</v>
      </c>
      <c r="E17" s="75"/>
      <c r="F17" s="50">
        <f t="shared" si="1"/>
        <v>0.19150345136184432</v>
      </c>
      <c r="H17" s="484">
        <v>0.87229588592978369</v>
      </c>
      <c r="J17" s="75">
        <f t="shared" si="0"/>
        <v>14593</v>
      </c>
      <c r="K17" s="50"/>
      <c r="L17" s="50">
        <f t="shared" si="2"/>
        <v>0.18324819589718633</v>
      </c>
      <c r="M17" s="50"/>
    </row>
    <row r="18" spans="2:13">
      <c r="B18" s="188">
        <f>+'Exhibit 6.2'!B18</f>
        <v>1998</v>
      </c>
      <c r="D18" s="417">
        <v>20286.406395885155</v>
      </c>
      <c r="E18" s="75"/>
      <c r="F18" s="50">
        <f t="shared" si="1"/>
        <v>0.2126046251030993</v>
      </c>
      <c r="H18" s="484">
        <v>0.76853721377275208</v>
      </c>
      <c r="J18" s="75">
        <f t="shared" si="0"/>
        <v>15591</v>
      </c>
      <c r="K18" s="50"/>
      <c r="L18" s="50">
        <f t="shared" si="2"/>
        <v>6.8388953607894098E-2</v>
      </c>
      <c r="M18" s="50"/>
    </row>
    <row r="19" spans="2:13">
      <c r="B19" s="188">
        <f>+'Exhibit 6.2'!B19</f>
        <v>1999</v>
      </c>
      <c r="D19" s="417">
        <v>23365.89764426538</v>
      </c>
      <c r="E19" s="75"/>
      <c r="F19" s="50">
        <f t="shared" si="1"/>
        <v>0.15180072745682849</v>
      </c>
      <c r="H19" s="484">
        <v>0.66589023417471926</v>
      </c>
      <c r="J19" s="75">
        <f t="shared" si="0"/>
        <v>15559</v>
      </c>
      <c r="K19" s="50"/>
      <c r="L19" s="50">
        <f t="shared" si="2"/>
        <v>-2.0524661663779975E-3</v>
      </c>
      <c r="M19" s="50"/>
    </row>
    <row r="20" spans="2:13">
      <c r="B20" s="188">
        <f>+'Exhibit 6.2'!B20</f>
        <v>2000</v>
      </c>
      <c r="D20" s="417">
        <v>26124.662197937603</v>
      </c>
      <c r="E20" s="75"/>
      <c r="F20" s="50">
        <f t="shared" si="1"/>
        <v>0.11806798932671425</v>
      </c>
      <c r="H20" s="484">
        <v>0.61192460340080246</v>
      </c>
      <c r="J20" s="75">
        <f t="shared" si="0"/>
        <v>15986</v>
      </c>
      <c r="K20" s="50"/>
      <c r="L20" s="50">
        <f t="shared" si="2"/>
        <v>2.7443923131306613E-2</v>
      </c>
      <c r="M20" s="50"/>
    </row>
    <row r="21" spans="2:13">
      <c r="B21" s="188">
        <f>+'Exhibit 6.2'!B21</f>
        <v>2001</v>
      </c>
      <c r="D21" s="417">
        <v>31121.429780502771</v>
      </c>
      <c r="E21" s="75"/>
      <c r="F21" s="50">
        <f t="shared" si="1"/>
        <v>0.19126630402745004</v>
      </c>
      <c r="H21" s="484">
        <v>0.55786014528103611</v>
      </c>
      <c r="J21" s="75">
        <f t="shared" si="0"/>
        <v>17361</v>
      </c>
      <c r="K21" s="50"/>
      <c r="L21" s="50">
        <f t="shared" si="2"/>
        <v>8.6012761166020191E-2</v>
      </c>
      <c r="M21" s="50"/>
    </row>
    <row r="22" spans="2:13">
      <c r="B22" s="188">
        <f>+'Exhibit 6.2'!B22</f>
        <v>2002</v>
      </c>
      <c r="D22" s="417">
        <v>31372.585897584213</v>
      </c>
      <c r="E22" s="75"/>
      <c r="F22" s="50">
        <f t="shared" si="1"/>
        <v>8.0701985369191487E-3</v>
      </c>
      <c r="H22" s="484">
        <v>0.57936621934305021</v>
      </c>
      <c r="J22" s="75">
        <f t="shared" si="0"/>
        <v>18176</v>
      </c>
      <c r="K22" s="50"/>
      <c r="L22" s="50">
        <f t="shared" si="2"/>
        <v>4.6944300443522824E-2</v>
      </c>
      <c r="M22" s="50"/>
    </row>
    <row r="23" spans="2:13">
      <c r="B23" s="188">
        <f>+'Exhibit 6.2'!B23</f>
        <v>2003</v>
      </c>
      <c r="D23" s="417">
        <v>29972.049380745662</v>
      </c>
      <c r="E23" s="75"/>
      <c r="F23" s="50">
        <f t="shared" si="1"/>
        <v>-4.464204899814761E-2</v>
      </c>
      <c r="H23" s="484">
        <v>0.60783731938294749</v>
      </c>
      <c r="J23" s="75">
        <f t="shared" si="0"/>
        <v>18218</v>
      </c>
      <c r="K23" s="50"/>
      <c r="L23" s="50">
        <f t="shared" si="2"/>
        <v>2.3107394366197465E-3</v>
      </c>
      <c r="M23" s="50"/>
    </row>
    <row r="24" spans="2:13">
      <c r="B24" s="188">
        <f>+'Exhibit 6.2'!B24</f>
        <v>2004</v>
      </c>
      <c r="D24" s="417">
        <v>27663.271250169502</v>
      </c>
      <c r="E24" s="75"/>
      <c r="F24" s="50">
        <f t="shared" si="1"/>
        <v>-7.7031039861403028E-2</v>
      </c>
      <c r="H24" s="484">
        <v>0.80401761823141205</v>
      </c>
      <c r="J24" s="75">
        <f t="shared" si="0"/>
        <v>22242</v>
      </c>
      <c r="K24" s="50"/>
      <c r="L24" s="50">
        <f t="shared" si="2"/>
        <v>0.22088044790866168</v>
      </c>
      <c r="M24" s="50"/>
    </row>
    <row r="25" spans="2:13">
      <c r="B25" s="188">
        <f>+'Exhibit 6.2'!B25</f>
        <v>2005</v>
      </c>
      <c r="D25" s="417">
        <v>28527.300524909042</v>
      </c>
      <c r="E25" s="75"/>
      <c r="F25" s="50">
        <f t="shared" si="1"/>
        <v>3.1233806982760459E-2</v>
      </c>
      <c r="H25" s="484">
        <v>0.80401761823141205</v>
      </c>
      <c r="J25" s="75">
        <f t="shared" si="0"/>
        <v>22936</v>
      </c>
      <c r="K25" s="50"/>
      <c r="L25" s="50">
        <f t="shared" si="2"/>
        <v>3.1202230015286325E-2</v>
      </c>
      <c r="M25" s="50"/>
    </row>
    <row r="26" spans="2:13">
      <c r="B26" s="188">
        <f>+'Exhibit 6.2'!B26</f>
        <v>2006</v>
      </c>
      <c r="D26" s="417">
        <v>31073.809792554366</v>
      </c>
      <c r="E26" s="75"/>
      <c r="F26" s="50">
        <f t="shared" si="1"/>
        <v>8.9265693591365158E-2</v>
      </c>
      <c r="H26" s="484">
        <v>0.80081196792381326</v>
      </c>
      <c r="J26" s="75">
        <f t="shared" si="0"/>
        <v>24884</v>
      </c>
      <c r="K26" s="50"/>
      <c r="L26" s="50">
        <f t="shared" si="2"/>
        <v>8.4931984652947268E-2</v>
      </c>
      <c r="M26" s="50"/>
    </row>
    <row r="27" spans="2:13">
      <c r="B27" s="188">
        <f>+'Exhibit 6.2'!B27</f>
        <v>2007</v>
      </c>
      <c r="D27" s="417">
        <v>34687.87699013883</v>
      </c>
      <c r="E27" s="75"/>
      <c r="F27" s="50">
        <f t="shared" si="1"/>
        <v>0.11630589302411298</v>
      </c>
      <c r="H27" s="484">
        <v>0.78586636146153777</v>
      </c>
      <c r="J27" s="75">
        <f t="shared" si="0"/>
        <v>27260</v>
      </c>
      <c r="K27" s="50"/>
      <c r="L27" s="50">
        <f t="shared" si="2"/>
        <v>9.5483041311686279E-2</v>
      </c>
      <c r="M27" s="50"/>
    </row>
    <row r="28" spans="2:13">
      <c r="B28" s="188">
        <f>+'Exhibit 6.2'!B28</f>
        <v>2008</v>
      </c>
      <c r="D28" s="417">
        <v>37351.166658616487</v>
      </c>
      <c r="E28" s="75"/>
      <c r="F28" s="50">
        <f t="shared" si="1"/>
        <v>7.6778687529213352E-2</v>
      </c>
      <c r="H28" s="484">
        <v>0.78273230132702443</v>
      </c>
      <c r="J28" s="75">
        <f t="shared" si="0"/>
        <v>29236</v>
      </c>
      <c r="K28" s="50"/>
      <c r="L28" s="50">
        <f t="shared" si="2"/>
        <v>7.2487160674981732E-2</v>
      </c>
      <c r="M28" s="50"/>
    </row>
    <row r="29" spans="2:13">
      <c r="B29" s="188">
        <f>+'Exhibit 6.2'!B29</f>
        <v>2009</v>
      </c>
      <c r="D29" s="417">
        <v>39338.323275605442</v>
      </c>
      <c r="E29" s="75"/>
      <c r="F29" s="50">
        <f>+D29/D28-1</f>
        <v>5.3201995941686064E-2</v>
      </c>
      <c r="H29" s="484">
        <v>0.77961384594325145</v>
      </c>
      <c r="J29" s="75">
        <f t="shared" si="0"/>
        <v>30669</v>
      </c>
      <c r="K29" s="50"/>
      <c r="L29" s="50">
        <f t="shared" si="2"/>
        <v>4.9014913120809966E-2</v>
      </c>
      <c r="M29" s="50"/>
    </row>
    <row r="30" spans="2:13">
      <c r="B30" s="187">
        <f>+'Exhibit 6.2'!B30</f>
        <v>2010</v>
      </c>
      <c r="C30" s="80"/>
      <c r="D30" s="483">
        <v>39577.822934480879</v>
      </c>
      <c r="E30" s="81"/>
      <c r="F30" s="82">
        <f>+D30/D29-1</f>
        <v>6.0882020109880308E-3</v>
      </c>
      <c r="G30" s="80"/>
      <c r="H30" s="332">
        <v>0.77728199994342129</v>
      </c>
      <c r="I30" s="80"/>
      <c r="J30" s="81">
        <f t="shared" si="0"/>
        <v>30763</v>
      </c>
      <c r="K30" s="82"/>
      <c r="L30" s="82">
        <f t="shared" si="2"/>
        <v>3.0649841859857752E-3</v>
      </c>
      <c r="M30" s="50"/>
    </row>
    <row r="31" spans="2:13">
      <c r="B31" s="188">
        <f>+'Exhibit 6.2'!B31</f>
        <v>2011</v>
      </c>
      <c r="D31" s="417">
        <v>35909.363991879953</v>
      </c>
      <c r="E31" s="75" t="s">
        <v>38</v>
      </c>
      <c r="F31" s="77" t="s">
        <v>32</v>
      </c>
      <c r="H31" s="484">
        <v>0.7989248748018023</v>
      </c>
      <c r="J31" s="75">
        <f t="shared" si="0"/>
        <v>28689</v>
      </c>
      <c r="K31" s="75" t="s">
        <v>38</v>
      </c>
      <c r="L31" s="77" t="s">
        <v>32</v>
      </c>
      <c r="M31" s="75"/>
    </row>
    <row r="32" spans="2:13">
      <c r="B32" s="188">
        <f>+'Exhibit 6.2'!B32</f>
        <v>2012</v>
      </c>
      <c r="D32" s="417">
        <v>33728.337918320394</v>
      </c>
      <c r="E32" s="75"/>
      <c r="F32" s="50">
        <f t="shared" ref="F32:F37" si="3">+D32/D31-1</f>
        <v>-6.0736973065096511E-2</v>
      </c>
      <c r="H32" s="484">
        <v>0.84368578018366669</v>
      </c>
      <c r="J32" s="75">
        <f t="shared" si="0"/>
        <v>28456</v>
      </c>
      <c r="K32" s="75"/>
      <c r="L32" s="50">
        <f t="shared" ref="L32:L37" si="4">+J32/J31-1</f>
        <v>-8.1215796995364187E-3</v>
      </c>
      <c r="M32" s="75"/>
    </row>
    <row r="33" spans="2:13">
      <c r="B33" s="188">
        <f>+'Exhibit 6.2'!B33</f>
        <v>2013</v>
      </c>
      <c r="D33" s="417">
        <v>31267.949215736946</v>
      </c>
      <c r="E33" s="75"/>
      <c r="F33" s="50">
        <f t="shared" si="3"/>
        <v>-7.2947226410674304E-2</v>
      </c>
      <c r="H33" s="484">
        <v>0.92824112031544093</v>
      </c>
      <c r="J33" s="75">
        <f t="shared" si="0"/>
        <v>29024</v>
      </c>
      <c r="K33" s="75"/>
      <c r="L33" s="50">
        <f t="shared" si="4"/>
        <v>1.9960640989598044E-2</v>
      </c>
      <c r="M33" s="50"/>
    </row>
    <row r="34" spans="2:13">
      <c r="B34" s="188">
        <f>+'Exhibit 6.2'!B34</f>
        <v>2014</v>
      </c>
      <c r="D34" s="417">
        <v>30263.348074660214</v>
      </c>
      <c r="E34" s="75"/>
      <c r="F34" s="50">
        <f t="shared" si="3"/>
        <v>-3.2128782548077162E-2</v>
      </c>
      <c r="H34" s="484">
        <v>0.98768914208861247</v>
      </c>
      <c r="J34" s="75">
        <f t="shared" si="0"/>
        <v>29891</v>
      </c>
      <c r="K34" s="75"/>
      <c r="L34" s="50">
        <f t="shared" si="4"/>
        <v>2.9871830209481809E-2</v>
      </c>
      <c r="M34" s="50"/>
    </row>
    <row r="35" spans="2:13">
      <c r="B35" s="188">
        <f>+'Exhibit 6.2'!B35</f>
        <v>2015</v>
      </c>
      <c r="D35" s="417">
        <v>29353.758470093038</v>
      </c>
      <c r="E35" s="75"/>
      <c r="F35" s="50">
        <f t="shared" si="3"/>
        <v>-3.0055815447887713E-2</v>
      </c>
      <c r="H35" s="484">
        <v>1.0109925196669354</v>
      </c>
      <c r="J35" s="75">
        <f t="shared" si="0"/>
        <v>29676</v>
      </c>
      <c r="K35" s="75"/>
      <c r="L35" s="50">
        <f t="shared" si="4"/>
        <v>-7.1928005085142299E-3</v>
      </c>
      <c r="M35" s="50"/>
    </row>
    <row r="36" spans="2:13">
      <c r="B36" s="188">
        <f>+'Exhibit 6.2'!B36</f>
        <v>2016</v>
      </c>
      <c r="D36" s="417">
        <v>28209.8181437477</v>
      </c>
      <c r="E36" s="75"/>
      <c r="F36" s="50">
        <f t="shared" si="3"/>
        <v>-3.8970829834647502E-2</v>
      </c>
      <c r="H36" s="484">
        <v>1.0120247849475819</v>
      </c>
      <c r="J36" s="75">
        <f>+ROUND(H36*D36,0)</f>
        <v>28549</v>
      </c>
      <c r="K36" s="75"/>
      <c r="L36" s="50">
        <f t="shared" si="4"/>
        <v>-3.7976816282517811E-2</v>
      </c>
      <c r="M36" s="50"/>
    </row>
    <row r="37" spans="2:13" s="223" customFormat="1">
      <c r="B37" s="225">
        <f>+'Exhibit 6.2'!B37</f>
        <v>2017</v>
      </c>
      <c r="D37" s="417">
        <v>28121.590198492537</v>
      </c>
      <c r="E37" s="75"/>
      <c r="F37" s="50">
        <f t="shared" si="3"/>
        <v>-3.1275616455797017E-3</v>
      </c>
      <c r="H37" s="484">
        <v>1.0140610194746871</v>
      </c>
      <c r="J37" s="75">
        <f>+ROUND(H37*D37,0)</f>
        <v>28517</v>
      </c>
      <c r="K37" s="75"/>
      <c r="L37" s="50">
        <f t="shared" si="4"/>
        <v>-1.1208798907141881E-3</v>
      </c>
      <c r="M37" s="50"/>
    </row>
    <row r="38" spans="2:13" s="319" customFormat="1">
      <c r="B38" s="286">
        <f>+'Exhibit 6.2'!B38</f>
        <v>2018</v>
      </c>
      <c r="D38" s="417">
        <v>29229.946698974672</v>
      </c>
      <c r="E38" s="75"/>
      <c r="F38" s="50">
        <f t="shared" ref="F38:F39" si="5">+D38/D37-1</f>
        <v>3.9413009458531656E-2</v>
      </c>
      <c r="H38" s="484">
        <v>1.01508219216</v>
      </c>
      <c r="J38" s="75">
        <f>+ROUND(H38*D38,0)</f>
        <v>29671</v>
      </c>
      <c r="K38" s="75"/>
      <c r="L38" s="50">
        <f t="shared" ref="L38:L39" si="6">+J38/J37-1</f>
        <v>4.0467089806080603E-2</v>
      </c>
      <c r="M38" s="50"/>
    </row>
    <row r="39" spans="2:13">
      <c r="B39" s="286">
        <f>+'Exhibit 6.2'!B39</f>
        <v>2019</v>
      </c>
      <c r="C39" s="265"/>
      <c r="D39" s="417">
        <v>28685.718737776617</v>
      </c>
      <c r="E39" s="75"/>
      <c r="F39" s="50">
        <f t="shared" si="5"/>
        <v>-1.861884890871679E-2</v>
      </c>
      <c r="G39" s="265"/>
      <c r="H39" s="484">
        <v>1.0110380399999999</v>
      </c>
      <c r="I39" s="265"/>
      <c r="J39" s="75">
        <f>+ROUND(H39*D39,0)</f>
        <v>29002</v>
      </c>
      <c r="K39" s="75"/>
      <c r="L39" s="50">
        <f t="shared" si="6"/>
        <v>-2.2547268376529317E-2</v>
      </c>
      <c r="M39" s="50"/>
    </row>
    <row r="40" spans="2:13" s="265" customFormat="1">
      <c r="B40" s="267"/>
      <c r="D40" s="75"/>
      <c r="E40" s="75"/>
      <c r="F40" s="50"/>
      <c r="H40" s="57"/>
      <c r="J40" s="75"/>
      <c r="K40" s="75"/>
      <c r="L40" s="50"/>
      <c r="M40" s="50"/>
    </row>
    <row r="41" spans="2:13">
      <c r="B41" s="56"/>
    </row>
    <row r="42" spans="2:13">
      <c r="B42" s="56"/>
      <c r="I42" s="222" t="s">
        <v>222</v>
      </c>
      <c r="L42" s="78">
        <f>+'Exhibit 6.4'!P34</f>
        <v>2.5000000000000001E-2</v>
      </c>
    </row>
    <row r="43" spans="2:13">
      <c r="B43" s="56"/>
    </row>
    <row r="44" spans="2:13">
      <c r="B44" s="56"/>
    </row>
    <row r="45" spans="2:13" ht="56.45" customHeight="1">
      <c r="B45" s="534" t="s">
        <v>462</v>
      </c>
      <c r="C45" s="534"/>
      <c r="D45" s="534"/>
      <c r="E45" s="534"/>
      <c r="F45" s="534"/>
      <c r="G45" s="534"/>
      <c r="H45" s="534"/>
      <c r="I45" s="534"/>
      <c r="J45" s="534"/>
      <c r="K45" s="534"/>
      <c r="L45" s="534"/>
      <c r="M45" s="534"/>
    </row>
    <row r="46" spans="2:13" ht="32.450000000000003" customHeight="1">
      <c r="B46" s="534" t="s">
        <v>347</v>
      </c>
      <c r="C46" s="534"/>
      <c r="D46" s="534"/>
      <c r="E46" s="534"/>
      <c r="F46" s="534"/>
      <c r="G46" s="534"/>
      <c r="H46" s="534"/>
      <c r="I46" s="534"/>
      <c r="J46" s="534"/>
      <c r="K46" s="534"/>
      <c r="L46" s="534"/>
      <c r="M46" s="534"/>
    </row>
    <row r="47" spans="2:13" ht="41.25" customHeight="1">
      <c r="B47" s="535" t="s">
        <v>210</v>
      </c>
      <c r="C47" s="535"/>
      <c r="D47" s="535"/>
      <c r="E47" s="535"/>
      <c r="F47" s="535"/>
      <c r="G47" s="535"/>
      <c r="H47" s="535"/>
      <c r="I47" s="535"/>
      <c r="J47" s="535"/>
      <c r="K47" s="535"/>
      <c r="L47" s="535"/>
      <c r="M47" s="535"/>
    </row>
    <row r="49" spans="2:2">
      <c r="B49" s="184" t="s">
        <v>207</v>
      </c>
    </row>
  </sheetData>
  <mergeCells count="3">
    <mergeCell ref="B45:M45"/>
    <mergeCell ref="B46:M46"/>
    <mergeCell ref="B47:M47"/>
  </mergeCells>
  <printOptions horizontalCentered="1"/>
  <pageMargins left="0.5" right="0.5" top="0.75" bottom="0.75" header="0.33" footer="0.33"/>
  <pageSetup scale="96" orientation="portrait" blackAndWhite="1" r:id="rId1"/>
  <headerFooter scaleWithDoc="0">
    <oddHeader>&amp;R&amp;"Arial,Regular"&amp;10Exhibit 6.3</oddHeader>
  </headerFooter>
  <ignoredErrors>
    <ignoredError sqref="D4:L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41"/>
  <sheetViews>
    <sheetView workbookViewId="0"/>
  </sheetViews>
  <sheetFormatPr defaultColWidth="9.1328125" defaultRowHeight="12.75"/>
  <cols>
    <col min="1" max="1" width="9.1328125" style="110"/>
    <col min="2" max="2" width="11.265625" style="110" customWidth="1"/>
    <col min="3" max="3" width="3.73046875" style="110" customWidth="1"/>
    <col min="4" max="4" width="11.265625" style="110" customWidth="1"/>
    <col min="5" max="5" width="3.73046875" style="110" customWidth="1"/>
    <col min="6" max="6" width="11.265625" style="110" customWidth="1"/>
    <col min="7" max="7" width="3.73046875" style="110" customWidth="1"/>
    <col min="8" max="8" width="11.265625" style="110" customWidth="1"/>
    <col min="9" max="9" width="3.73046875" style="110" customWidth="1"/>
    <col min="10" max="10" width="11.265625" style="110" customWidth="1"/>
    <col min="11" max="11" width="4" style="110" customWidth="1"/>
    <col min="12" max="12" width="11.265625" style="110" customWidth="1"/>
    <col min="13" max="13" width="3.73046875" style="110" customWidth="1"/>
    <col min="14" max="14" width="11.265625" style="110" customWidth="1"/>
    <col min="15" max="15" width="3.73046875" style="110" customWidth="1"/>
    <col min="16" max="16" width="11.265625" style="110" customWidth="1"/>
    <col min="17" max="17" width="3.73046875" style="110" customWidth="1"/>
    <col min="18" max="16384" width="9.1328125" style="110"/>
  </cols>
  <sheetData>
    <row r="1" spans="1:17" ht="13.15">
      <c r="A1" s="308" t="s">
        <v>209</v>
      </c>
      <c r="B1" s="309"/>
      <c r="C1" s="309"/>
      <c r="D1" s="309"/>
      <c r="E1" s="309"/>
      <c r="F1" s="309"/>
      <c r="G1" s="309"/>
      <c r="H1" s="309"/>
      <c r="I1" s="309"/>
      <c r="J1" s="309"/>
      <c r="K1" s="309"/>
      <c r="L1" s="309"/>
      <c r="M1" s="309"/>
      <c r="N1" s="309"/>
      <c r="O1" s="309"/>
      <c r="P1" s="309"/>
      <c r="Q1" s="309"/>
    </row>
    <row r="2" spans="1:17" ht="13.15">
      <c r="A2" s="308" t="s">
        <v>213</v>
      </c>
      <c r="B2" s="309"/>
      <c r="C2" s="309"/>
      <c r="D2" s="309"/>
      <c r="E2" s="309"/>
      <c r="F2" s="309"/>
      <c r="G2" s="309"/>
      <c r="H2" s="309"/>
      <c r="I2" s="309"/>
      <c r="J2" s="309"/>
      <c r="K2" s="309"/>
      <c r="L2" s="309"/>
      <c r="M2" s="309"/>
      <c r="N2" s="309"/>
      <c r="O2" s="309"/>
      <c r="P2" s="309"/>
      <c r="Q2" s="309"/>
    </row>
    <row r="3" spans="1:17" ht="13.15">
      <c r="A3" s="308" t="s">
        <v>516</v>
      </c>
      <c r="B3" s="309"/>
      <c r="C3" s="309"/>
      <c r="D3" s="309"/>
      <c r="E3" s="309"/>
      <c r="F3" s="309"/>
      <c r="G3" s="309"/>
      <c r="H3" s="309"/>
      <c r="I3" s="309"/>
      <c r="J3" s="309"/>
      <c r="K3" s="309"/>
      <c r="L3" s="309"/>
      <c r="M3" s="309"/>
      <c r="N3" s="309"/>
      <c r="O3" s="309"/>
      <c r="P3" s="309"/>
      <c r="Q3" s="309"/>
    </row>
    <row r="4" spans="1:17">
      <c r="A4" s="83"/>
      <c r="B4" s="83"/>
      <c r="C4" s="83"/>
      <c r="D4" s="83"/>
      <c r="E4" s="83"/>
      <c r="F4" s="83"/>
      <c r="G4" s="83"/>
      <c r="H4" s="83"/>
      <c r="I4" s="83"/>
      <c r="J4" s="83"/>
      <c r="K4" s="83"/>
      <c r="L4" s="83"/>
      <c r="M4" s="83"/>
      <c r="N4" s="83"/>
      <c r="O4" s="83"/>
      <c r="P4" s="83"/>
      <c r="Q4" s="83"/>
    </row>
    <row r="5" spans="1:17">
      <c r="A5" s="83"/>
      <c r="B5" s="83"/>
      <c r="C5" s="83"/>
      <c r="D5" s="83"/>
      <c r="E5" s="83"/>
      <c r="F5" s="83"/>
      <c r="G5" s="83"/>
      <c r="H5" s="83"/>
      <c r="I5" s="83"/>
      <c r="J5" s="558" t="s">
        <v>214</v>
      </c>
      <c r="K5" s="558"/>
      <c r="L5" s="558"/>
      <c r="M5" s="558"/>
      <c r="N5" s="558"/>
      <c r="O5" s="558"/>
      <c r="P5" s="558"/>
      <c r="Q5" s="83"/>
    </row>
    <row r="6" spans="1:17">
      <c r="A6" s="83"/>
      <c r="B6" s="83"/>
      <c r="C6" s="83"/>
      <c r="D6" s="83"/>
      <c r="E6" s="83"/>
      <c r="F6" s="83"/>
      <c r="G6" s="83"/>
      <c r="H6" s="83"/>
      <c r="I6" s="83"/>
      <c r="J6" s="558" t="s">
        <v>215</v>
      </c>
      <c r="K6" s="558"/>
      <c r="L6" s="558"/>
      <c r="M6" s="558"/>
      <c r="N6" s="558"/>
      <c r="O6" s="558"/>
      <c r="P6" s="558"/>
      <c r="Q6" s="83"/>
    </row>
    <row r="7" spans="1:17">
      <c r="A7" s="83"/>
      <c r="B7" s="557" t="s">
        <v>216</v>
      </c>
      <c r="C7" s="557"/>
      <c r="D7" s="557"/>
      <c r="E7" s="557"/>
      <c r="F7" s="557"/>
      <c r="G7" s="557"/>
      <c r="H7" s="557"/>
      <c r="I7" s="83"/>
      <c r="J7" s="557" t="s">
        <v>217</v>
      </c>
      <c r="K7" s="557"/>
      <c r="L7" s="557"/>
      <c r="M7" s="557"/>
      <c r="N7" s="557"/>
      <c r="O7" s="557"/>
      <c r="P7" s="557"/>
      <c r="Q7" s="83"/>
    </row>
    <row r="8" spans="1:17">
      <c r="A8" s="84" t="s">
        <v>45</v>
      </c>
      <c r="B8" s="85" t="s">
        <v>46</v>
      </c>
      <c r="C8" s="85"/>
      <c r="D8" s="85" t="s">
        <v>47</v>
      </c>
      <c r="E8" s="85"/>
      <c r="F8" s="85" t="s">
        <v>48</v>
      </c>
      <c r="G8" s="85"/>
      <c r="H8" s="85" t="s">
        <v>50</v>
      </c>
      <c r="I8" s="125"/>
      <c r="J8" s="85" t="s">
        <v>51</v>
      </c>
      <c r="K8" s="85"/>
      <c r="L8" s="85" t="s">
        <v>131</v>
      </c>
      <c r="M8" s="85"/>
      <c r="N8" s="85" t="s">
        <v>218</v>
      </c>
      <c r="O8" s="85"/>
      <c r="P8" s="85" t="s">
        <v>219</v>
      </c>
      <c r="Q8" s="86"/>
    </row>
    <row r="9" spans="1:17">
      <c r="A9" s="125"/>
      <c r="B9" s="125" t="s">
        <v>202</v>
      </c>
      <c r="C9" s="125"/>
      <c r="D9" s="125"/>
      <c r="E9" s="125"/>
      <c r="F9" s="125" t="s">
        <v>55</v>
      </c>
      <c r="G9" s="125"/>
      <c r="H9" s="125"/>
      <c r="I9" s="125"/>
      <c r="J9" s="125" t="s">
        <v>202</v>
      </c>
      <c r="K9" s="125"/>
      <c r="L9" s="125"/>
      <c r="M9" s="125"/>
      <c r="N9" s="125" t="s">
        <v>55</v>
      </c>
      <c r="O9" s="125"/>
      <c r="P9" s="125"/>
      <c r="Q9" s="86"/>
    </row>
    <row r="10" spans="1:17">
      <c r="A10" s="125" t="s">
        <v>54</v>
      </c>
      <c r="B10" s="125" t="s">
        <v>55</v>
      </c>
      <c r="C10" s="125"/>
      <c r="D10" s="125" t="s">
        <v>63</v>
      </c>
      <c r="E10" s="125"/>
      <c r="F10" s="125" t="s">
        <v>220</v>
      </c>
      <c r="G10" s="125"/>
      <c r="H10" s="125" t="s">
        <v>63</v>
      </c>
      <c r="I10" s="125"/>
      <c r="J10" s="125" t="s">
        <v>55</v>
      </c>
      <c r="K10" s="125"/>
      <c r="L10" s="125" t="s">
        <v>63</v>
      </c>
      <c r="M10" s="125"/>
      <c r="N10" s="125" t="s">
        <v>220</v>
      </c>
      <c r="O10" s="125"/>
      <c r="P10" s="125" t="s">
        <v>63</v>
      </c>
      <c r="Q10" s="86"/>
    </row>
    <row r="11" spans="1:17">
      <c r="A11" s="87" t="s">
        <v>8</v>
      </c>
      <c r="B11" s="87" t="s">
        <v>211</v>
      </c>
      <c r="C11" s="87"/>
      <c r="D11" s="87" t="s">
        <v>205</v>
      </c>
      <c r="E11" s="87"/>
      <c r="F11" s="87" t="s">
        <v>221</v>
      </c>
      <c r="G11" s="87"/>
      <c r="H11" s="87" t="s">
        <v>205</v>
      </c>
      <c r="I11" s="125"/>
      <c r="J11" s="87" t="s">
        <v>211</v>
      </c>
      <c r="K11" s="87"/>
      <c r="L11" s="87" t="s">
        <v>205</v>
      </c>
      <c r="M11" s="87"/>
      <c r="N11" s="87" t="s">
        <v>221</v>
      </c>
      <c r="O11" s="87"/>
      <c r="P11" s="87" t="s">
        <v>205</v>
      </c>
      <c r="Q11" s="86"/>
    </row>
    <row r="12" spans="1:17">
      <c r="A12" s="83"/>
      <c r="B12" s="83"/>
      <c r="C12" s="83"/>
      <c r="D12" s="83"/>
      <c r="E12" s="83"/>
      <c r="F12" s="83"/>
      <c r="G12" s="83"/>
      <c r="H12" s="83"/>
      <c r="I12" s="83"/>
      <c r="J12" s="83"/>
      <c r="K12" s="83"/>
      <c r="L12" s="83"/>
      <c r="M12" s="83"/>
      <c r="N12" s="83"/>
      <c r="O12" s="83"/>
      <c r="P12" s="83"/>
      <c r="Q12" s="83"/>
    </row>
    <row r="13" spans="1:17">
      <c r="A13" s="86">
        <v>2005</v>
      </c>
      <c r="B13" s="304">
        <f>'Exhibit 6.3'!D25</f>
        <v>28527.300524909042</v>
      </c>
      <c r="C13" s="88"/>
      <c r="D13" s="89" t="s">
        <v>32</v>
      </c>
      <c r="E13" s="90"/>
      <c r="F13" s="304">
        <f>INDEX('Exhibit 6.3'!$H$10:$H$39,MATCH($A13,'Exhibit 6.3'!$B$10:$B$39,0))*$B13</f>
        <v>22936.452222609078</v>
      </c>
      <c r="G13" s="90"/>
      <c r="H13" s="89" t="s">
        <v>32</v>
      </c>
      <c r="I13" s="83"/>
      <c r="J13" s="486">
        <v>27050.762606249176</v>
      </c>
      <c r="K13" s="88"/>
      <c r="L13" s="89" t="s">
        <v>32</v>
      </c>
      <c r="M13" s="90"/>
      <c r="N13" s="304">
        <f>INDEX('Exhibit 6.3'!$H$10:$H$39,MATCH($A13,'Exhibit 6.3'!$B$10:$B$39,0))*$J13</f>
        <v>21749.289722019807</v>
      </c>
      <c r="O13" s="90"/>
      <c r="P13" s="89" t="s">
        <v>32</v>
      </c>
      <c r="Q13" s="83"/>
    </row>
    <row r="14" spans="1:17">
      <c r="A14" s="86">
        <f>A13+1</f>
        <v>2006</v>
      </c>
      <c r="B14" s="304">
        <f>'Exhibit 6.3'!D26</f>
        <v>31073.809792554366</v>
      </c>
      <c r="C14" s="88"/>
      <c r="D14" s="90">
        <f t="shared" ref="D14:D27" si="0">B14/B13-1</f>
        <v>8.9265693591365158E-2</v>
      </c>
      <c r="E14" s="90"/>
      <c r="F14" s="304">
        <f>INDEX('Exhibit 6.3'!$H$10:$H$39,MATCH($A14,'Exhibit 6.3'!$B$10:$B$39,0))*$B14</f>
        <v>24884.27877086572</v>
      </c>
      <c r="G14" s="90"/>
      <c r="H14" s="90">
        <f t="shared" ref="H14:H23" si="1">F14/F13-1</f>
        <v>8.4922747831794876E-2</v>
      </c>
      <c r="I14" s="83"/>
      <c r="J14" s="486">
        <v>29155.304874655889</v>
      </c>
      <c r="K14" s="88"/>
      <c r="L14" s="90">
        <f t="shared" ref="L14:L23" si="2">J14/J13-1</f>
        <v>7.7799738921982442E-2</v>
      </c>
      <c r="M14" s="90"/>
      <c r="N14" s="304">
        <f>INDEX('Exhibit 6.3'!$H$10:$H$39,MATCH($A14,'Exhibit 6.3'!$B$10:$B$39,0))*$J14</f>
        <v>23347.917072091928</v>
      </c>
      <c r="O14" s="90"/>
      <c r="P14" s="90">
        <f t="shared" ref="P14:P23" si="3">N14/N13-1</f>
        <v>7.3502508380933973E-2</v>
      </c>
      <c r="Q14" s="83"/>
    </row>
    <row r="15" spans="1:17">
      <c r="A15" s="86">
        <f t="shared" ref="A15:A27" si="4">A14+1</f>
        <v>2007</v>
      </c>
      <c r="B15" s="304">
        <f>'Exhibit 6.3'!D27</f>
        <v>34687.87699013883</v>
      </c>
      <c r="C15" s="88"/>
      <c r="D15" s="90">
        <f t="shared" si="0"/>
        <v>0.11630589302411298</v>
      </c>
      <c r="E15" s="90"/>
      <c r="F15" s="304">
        <f>INDEX('Exhibit 6.3'!$H$10:$H$39,MATCH($A15,'Exhibit 6.3'!$B$10:$B$39,0))*$B15</f>
        <v>27260.0356770658</v>
      </c>
      <c r="G15" s="90"/>
      <c r="H15" s="90">
        <f t="shared" si="1"/>
        <v>9.5472202673665407E-2</v>
      </c>
      <c r="I15" s="83"/>
      <c r="J15" s="486">
        <v>32407.744011963259</v>
      </c>
      <c r="K15" s="88"/>
      <c r="L15" s="90">
        <f t="shared" si="2"/>
        <v>0.11155565518145716</v>
      </c>
      <c r="M15" s="90"/>
      <c r="N15" s="304">
        <f>INDEX('Exhibit 6.3'!$H$10:$H$39,MATCH($A15,'Exhibit 6.3'!$B$10:$B$39,0))*$J15</f>
        <v>25468.155869858503</v>
      </c>
      <c r="O15" s="90"/>
      <c r="P15" s="90">
        <f t="shared" si="3"/>
        <v>9.0810618832500634E-2</v>
      </c>
      <c r="Q15" s="83"/>
    </row>
    <row r="16" spans="1:17">
      <c r="A16" s="86">
        <f t="shared" si="4"/>
        <v>2008</v>
      </c>
      <c r="B16" s="304">
        <f>'Exhibit 6.3'!D28</f>
        <v>37351.166658616487</v>
      </c>
      <c r="C16" s="88"/>
      <c r="D16" s="90">
        <f t="shared" si="0"/>
        <v>7.6778687529213352E-2</v>
      </c>
      <c r="E16" s="90"/>
      <c r="F16" s="304">
        <f>INDEX('Exhibit 6.3'!$H$10:$H$39,MATCH($A16,'Exhibit 6.3'!$B$10:$B$39,0))*$B16</f>
        <v>29235.964635948108</v>
      </c>
      <c r="G16" s="90"/>
      <c r="H16" s="90">
        <f t="shared" si="1"/>
        <v>7.2484459752364838E-2</v>
      </c>
      <c r="I16" s="83"/>
      <c r="J16" s="486">
        <v>34113.045702597054</v>
      </c>
      <c r="K16" s="88"/>
      <c r="L16" s="90">
        <f t="shared" si="2"/>
        <v>5.2620191334647792E-2</v>
      </c>
      <c r="M16" s="90"/>
      <c r="N16" s="304">
        <f>INDEX('Exhibit 6.3'!$H$10:$H$39,MATCH($A16,'Exhibit 6.3'!$B$10:$B$39,0))*$J16</f>
        <v>26701.382768067753</v>
      </c>
      <c r="O16" s="90"/>
      <c r="P16" s="90">
        <f t="shared" si="3"/>
        <v>4.8422308411767201E-2</v>
      </c>
      <c r="Q16" s="83"/>
    </row>
    <row r="17" spans="1:17">
      <c r="A17" s="86">
        <f t="shared" si="4"/>
        <v>2009</v>
      </c>
      <c r="B17" s="304">
        <f>'Exhibit 6.3'!D29</f>
        <v>39338.323275605442</v>
      </c>
      <c r="C17" s="88"/>
      <c r="D17" s="90">
        <f t="shared" si="0"/>
        <v>5.3201995941686064E-2</v>
      </c>
      <c r="E17" s="90"/>
      <c r="F17" s="304">
        <f>INDEX('Exhibit 6.3'!$H$10:$H$39,MATCH($A17,'Exhibit 6.3'!$B$10:$B$39,0))*$B17</f>
        <v>30668.701501853684</v>
      </c>
      <c r="G17" s="90"/>
      <c r="H17" s="90">
        <f t="shared" si="1"/>
        <v>4.9005972053472124E-2</v>
      </c>
      <c r="I17" s="83"/>
      <c r="J17" s="486">
        <v>36084.989801173258</v>
      </c>
      <c r="K17" s="88"/>
      <c r="L17" s="90">
        <f t="shared" si="2"/>
        <v>5.7806157672578573E-2</v>
      </c>
      <c r="M17" s="90"/>
      <c r="N17" s="304">
        <f>INDEX('Exhibit 6.3'!$H$10:$H$39,MATCH($A17,'Exhibit 6.3'!$B$10:$B$39,0))*$J17</f>
        <v>28132.357679715689</v>
      </c>
      <c r="O17" s="90"/>
      <c r="P17" s="90">
        <f t="shared" si="3"/>
        <v>5.359179051053653E-2</v>
      </c>
      <c r="Q17" s="83"/>
    </row>
    <row r="18" spans="1:17">
      <c r="A18" s="86">
        <f t="shared" si="4"/>
        <v>2010</v>
      </c>
      <c r="B18" s="304">
        <f>'Exhibit 6.3'!D30</f>
        <v>39577.822934480879</v>
      </c>
      <c r="C18" s="88"/>
      <c r="D18" s="90">
        <f t="shared" si="0"/>
        <v>6.0882020109880308E-3</v>
      </c>
      <c r="E18" s="90"/>
      <c r="F18" s="304">
        <f>INDEX('Exhibit 6.3'!$H$10:$H$39,MATCH($A18,'Exhibit 6.3'!$B$10:$B$39,0))*$B18</f>
        <v>30763.129363919903</v>
      </c>
      <c r="G18" s="90"/>
      <c r="H18" s="90">
        <f t="shared" si="1"/>
        <v>3.0789651156410969E-3</v>
      </c>
      <c r="I18" s="83"/>
      <c r="J18" s="486">
        <v>36268.414094552689</v>
      </c>
      <c r="K18" s="91"/>
      <c r="L18" s="92">
        <f t="shared" si="2"/>
        <v>5.0831188920958947E-3</v>
      </c>
      <c r="M18" s="92"/>
      <c r="N18" s="304">
        <f>INDEX('Exhibit 6.3'!$H$10:$H$39,MATCH($A18,'Exhibit 6.3'!$B$10:$B$39,0))*$J18</f>
        <v>28190.785442190081</v>
      </c>
      <c r="O18" s="92"/>
      <c r="P18" s="90">
        <f t="shared" si="3"/>
        <v>2.0768882274135869E-3</v>
      </c>
      <c r="Q18" s="83"/>
    </row>
    <row r="19" spans="1:17">
      <c r="A19" s="86">
        <f t="shared" si="4"/>
        <v>2011</v>
      </c>
      <c r="B19" s="485">
        <v>39317.823658561698</v>
      </c>
      <c r="C19" s="88"/>
      <c r="D19" s="90">
        <f t="shared" si="0"/>
        <v>-6.5693172752224749E-3</v>
      </c>
      <c r="E19" s="90"/>
      <c r="F19" s="304">
        <f>INDEX('Exhibit 6.3'!$H$10:$H$39,MATCH($A19,'Exhibit 6.3'!$B$10:$B$39,0))*$B19</f>
        <v>31411.987343895744</v>
      </c>
      <c r="G19" s="90"/>
      <c r="H19" s="90">
        <f t="shared" si="1"/>
        <v>2.1092066814790478E-2</v>
      </c>
      <c r="I19" s="83"/>
      <c r="J19" s="88">
        <f>'Exhibit 6.3'!D31</f>
        <v>35909.363991879953</v>
      </c>
      <c r="K19" s="88"/>
      <c r="L19" s="90">
        <f t="shared" si="2"/>
        <v>-9.8998015666381667E-3</v>
      </c>
      <c r="M19" s="90"/>
      <c r="N19" s="304">
        <f>INDEX('Exhibit 6.3'!$H$10:$H$39,MATCH($A19,'Exhibit 6.3'!$B$10:$B$39,0))*$J19</f>
        <v>28688.884131425039</v>
      </c>
      <c r="O19" s="90"/>
      <c r="P19" s="90">
        <f t="shared" si="3"/>
        <v>1.7668847512475105E-2</v>
      </c>
      <c r="Q19" s="83"/>
    </row>
    <row r="20" spans="1:17">
      <c r="A20" s="86">
        <f t="shared" si="4"/>
        <v>2012</v>
      </c>
      <c r="B20" s="485">
        <v>36863.35981050993</v>
      </c>
      <c r="C20" s="88"/>
      <c r="D20" s="90">
        <f t="shared" si="0"/>
        <v>-6.2426238780825649E-2</v>
      </c>
      <c r="E20" s="90"/>
      <c r="F20" s="304">
        <f>INDEX('Exhibit 6.3'!$H$10:$H$39,MATCH($A20,'Exhibit 6.3'!$B$10:$B$39,0))*$B20</f>
        <v>31101.092481921292</v>
      </c>
      <c r="G20" s="90"/>
      <c r="H20" s="90">
        <f t="shared" si="1"/>
        <v>-9.8973318233832597E-3</v>
      </c>
      <c r="I20" s="83"/>
      <c r="J20" s="88">
        <f>'Exhibit 6.3'!D32</f>
        <v>33728.337918320394</v>
      </c>
      <c r="K20" s="88"/>
      <c r="L20" s="90">
        <f t="shared" si="2"/>
        <v>-6.0736973065096511E-2</v>
      </c>
      <c r="M20" s="90"/>
      <c r="N20" s="304">
        <f>INDEX('Exhibit 6.3'!$H$10:$H$39,MATCH($A20,'Exhibit 6.3'!$B$10:$B$39,0))*$J20</f>
        <v>28456.119090916491</v>
      </c>
      <c r="O20" s="90"/>
      <c r="P20" s="90">
        <f t="shared" si="3"/>
        <v>-8.1134225870285182E-3</v>
      </c>
      <c r="Q20" s="83"/>
    </row>
    <row r="21" spans="1:17">
      <c r="A21" s="86">
        <f t="shared" si="4"/>
        <v>2013</v>
      </c>
      <c r="B21" s="485">
        <v>34264.86335544529</v>
      </c>
      <c r="C21" s="88"/>
      <c r="D21" s="90">
        <f t="shared" si="0"/>
        <v>-7.048995176841677E-2</v>
      </c>
      <c r="E21" s="90"/>
      <c r="F21" s="304">
        <f>INDEX('Exhibit 6.3'!$H$10:$H$39,MATCH($A21,'Exhibit 6.3'!$B$10:$B$39,0))*$B21</f>
        <v>31806.055148514035</v>
      </c>
      <c r="G21" s="90"/>
      <c r="H21" s="90">
        <f t="shared" si="1"/>
        <v>2.2666813617641557E-2</v>
      </c>
      <c r="I21" s="83"/>
      <c r="J21" s="88">
        <f>'Exhibit 6.3'!D33</f>
        <v>31267.949215736946</v>
      </c>
      <c r="K21" s="88"/>
      <c r="L21" s="90">
        <f t="shared" si="2"/>
        <v>-7.2947226410674304E-2</v>
      </c>
      <c r="M21" s="90"/>
      <c r="N21" s="304">
        <f>INDEX('Exhibit 6.3'!$H$10:$H$39,MATCH($A21,'Exhibit 6.3'!$B$10:$B$39,0))*$J21</f>
        <v>29024.196209981976</v>
      </c>
      <c r="O21" s="90"/>
      <c r="P21" s="90">
        <f t="shared" si="3"/>
        <v>1.9963267557691067E-2</v>
      </c>
      <c r="Q21" s="83"/>
    </row>
    <row r="22" spans="1:17">
      <c r="A22" s="86">
        <f t="shared" si="4"/>
        <v>2014</v>
      </c>
      <c r="B22" s="485">
        <v>33129.917841490875</v>
      </c>
      <c r="C22" s="88"/>
      <c r="D22" s="90">
        <f t="shared" si="0"/>
        <v>-3.3122721143846401E-2</v>
      </c>
      <c r="E22" s="90"/>
      <c r="F22" s="304">
        <f>INDEX('Exhibit 6.3'!$H$10:$H$39,MATCH($A22,'Exhibit 6.3'!$B$10:$B$39,0))*$B22</f>
        <v>32722.060130328337</v>
      </c>
      <c r="G22" s="90"/>
      <c r="H22" s="90">
        <f t="shared" si="1"/>
        <v>2.8799704255593417E-2</v>
      </c>
      <c r="I22" s="83"/>
      <c r="J22" s="88">
        <f>'Exhibit 6.3'!D34</f>
        <v>30263.348074660214</v>
      </c>
      <c r="K22" s="88"/>
      <c r="L22" s="90">
        <f t="shared" si="2"/>
        <v>-3.2128782548077162E-2</v>
      </c>
      <c r="M22" s="90"/>
      <c r="N22" s="304">
        <f>INDEX('Exhibit 6.3'!$H$10:$H$39,MATCH($A22,'Exhibit 6.3'!$B$10:$B$39,0))*$J22</f>
        <v>29890.780296590208</v>
      </c>
      <c r="O22" s="90"/>
      <c r="P22" s="90">
        <f t="shared" si="3"/>
        <v>2.9857298384380337E-2</v>
      </c>
      <c r="Q22" s="83"/>
    </row>
    <row r="23" spans="1:17">
      <c r="A23" s="86">
        <f t="shared" si="4"/>
        <v>2015</v>
      </c>
      <c r="B23" s="485">
        <v>32053.340807449931</v>
      </c>
      <c r="C23" s="88"/>
      <c r="D23" s="90">
        <f t="shared" si="0"/>
        <v>-3.2495614362576863E-2</v>
      </c>
      <c r="E23" s="90"/>
      <c r="F23" s="304">
        <f>INDEX('Exhibit 6.3'!$H$10:$H$39,MATCH($A23,'Exhibit 6.3'!$B$10:$B$39,0))*$B23</f>
        <v>32405.687786666807</v>
      </c>
      <c r="G23" s="90"/>
      <c r="H23" s="90">
        <f t="shared" si="1"/>
        <v>-9.6684726573281754E-3</v>
      </c>
      <c r="I23" s="83"/>
      <c r="J23" s="88">
        <f>'Exhibit 6.3'!D35</f>
        <v>29353.758470093038</v>
      </c>
      <c r="K23" s="88"/>
      <c r="L23" s="90">
        <f t="shared" si="2"/>
        <v>-3.0055815447887713E-2</v>
      </c>
      <c r="M23" s="90"/>
      <c r="N23" s="304">
        <f>INDEX('Exhibit 6.3'!$H$10:$H$39,MATCH($A23,'Exhibit 6.3'!$B$10:$B$39,0))*$J23</f>
        <v>29676.430237374007</v>
      </c>
      <c r="O23" s="90"/>
      <c r="P23" s="90">
        <f t="shared" si="3"/>
        <v>-7.1711095223785382E-3</v>
      </c>
      <c r="Q23" s="83"/>
    </row>
    <row r="24" spans="1:17">
      <c r="A24" s="86">
        <f t="shared" si="4"/>
        <v>2016</v>
      </c>
      <c r="B24" s="485">
        <v>30741.814357842097</v>
      </c>
      <c r="C24" s="88"/>
      <c r="D24" s="90">
        <f t="shared" si="0"/>
        <v>-4.0916996998422217E-2</v>
      </c>
      <c r="E24" s="90"/>
      <c r="F24" s="304">
        <f>INDEX('Exhibit 6.3'!$H$10:$H$39,MATCH($A24,'Exhibit 6.3'!$B$10:$B$39,0))*$B24</f>
        <v>31111.478064393632</v>
      </c>
      <c r="G24" s="90"/>
      <c r="H24" s="90">
        <f>F24/F23-1</f>
        <v>-3.9937733486578586E-2</v>
      </c>
      <c r="I24" s="83"/>
      <c r="J24" s="88">
        <f>'Exhibit 6.3'!D36</f>
        <v>28209.8181437477</v>
      </c>
      <c r="K24" s="88"/>
      <c r="L24" s="90">
        <f>J24/J23-1</f>
        <v>-3.8970829834647502E-2</v>
      </c>
      <c r="M24" s="90"/>
      <c r="N24" s="304">
        <f>INDEX('Exhibit 6.3'!$H$10:$H$39,MATCH($A24,'Exhibit 6.3'!$B$10:$B$39,0))*$J24</f>
        <v>28549.035140336659</v>
      </c>
      <c r="O24" s="90"/>
      <c r="P24" s="90">
        <f>N24/N23-1</f>
        <v>-3.7989579205437107E-2</v>
      </c>
      <c r="Q24" s="83"/>
    </row>
    <row r="25" spans="1:17">
      <c r="A25" s="86">
        <f t="shared" si="4"/>
        <v>2017</v>
      </c>
      <c r="B25" s="485">
        <v>30719.576922565997</v>
      </c>
      <c r="C25" s="88"/>
      <c r="D25" s="90">
        <f t="shared" si="0"/>
        <v>-7.2336118542815075E-4</v>
      </c>
      <c r="E25" s="90"/>
      <c r="F25" s="304">
        <f>INDEX('Exhibit 6.3'!$H$10:$H$39,MATCH($A25,'Exhibit 6.3'!$B$10:$B$39,0))*$B25</f>
        <v>31151.525491928343</v>
      </c>
      <c r="G25" s="90"/>
      <c r="H25" s="90">
        <f t="shared" ref="H25:H27" si="5">F25/F24-1</f>
        <v>1.2872235594794113E-3</v>
      </c>
      <c r="I25" s="83"/>
      <c r="J25" s="88">
        <f>'Exhibit 6.3'!D37</f>
        <v>28121.590198492537</v>
      </c>
      <c r="K25" s="88"/>
      <c r="L25" s="90">
        <f>J25/J24-1</f>
        <v>-3.1275616455797017E-3</v>
      </c>
      <c r="M25" s="90"/>
      <c r="N25" s="304">
        <f>INDEX('Exhibit 6.3'!$H$10:$H$39,MATCH($A25,'Exhibit 6.3'!$B$10:$B$39,0))*$J25</f>
        <v>28517.008425932709</v>
      </c>
      <c r="O25" s="90"/>
      <c r="P25" s="90">
        <f t="shared" ref="P25:P27" si="6">N25/N24-1</f>
        <v>-1.1218142485908134E-3</v>
      </c>
      <c r="Q25" s="83"/>
    </row>
    <row r="26" spans="1:17">
      <c r="A26" s="86">
        <f t="shared" si="4"/>
        <v>2018</v>
      </c>
      <c r="B26" s="485">
        <v>32097.282266077604</v>
      </c>
      <c r="C26" s="88"/>
      <c r="D26" s="90">
        <f t="shared" si="0"/>
        <v>4.4847796796952943E-2</v>
      </c>
      <c r="E26" s="90"/>
      <c r="F26" s="304">
        <f>INDEX('Exhibit 6.3'!$H$10:$H$39,MATCH($A26,'Exhibit 6.3'!$B$10:$B$39,0))*$B26</f>
        <v>32581.379645028344</v>
      </c>
      <c r="G26" s="90"/>
      <c r="H26" s="90">
        <f t="shared" si="5"/>
        <v>4.5899972168955028E-2</v>
      </c>
      <c r="I26" s="83"/>
      <c r="J26" s="88">
        <f>'Exhibit 6.3'!D38</f>
        <v>29229.946698974672</v>
      </c>
      <c r="K26" s="88"/>
      <c r="L26" s="90">
        <f t="shared" ref="L26:L27" si="7">J26/J25-1</f>
        <v>3.9413009458531656E-2</v>
      </c>
      <c r="M26" s="90"/>
      <c r="N26" s="304">
        <f>INDEX('Exhibit 6.3'!$H$10:$H$39,MATCH($A26,'Exhibit 6.3'!$B$10:$B$39,0))*$J26</f>
        <v>29670.798371915163</v>
      </c>
      <c r="O26" s="90"/>
      <c r="P26" s="90">
        <f t="shared" si="6"/>
        <v>4.0459711928731767E-2</v>
      </c>
      <c r="Q26" s="83"/>
    </row>
    <row r="27" spans="1:17">
      <c r="A27" s="86">
        <f t="shared" si="4"/>
        <v>2019</v>
      </c>
      <c r="B27" s="485">
        <v>31610.280693748129</v>
      </c>
      <c r="C27" s="88"/>
      <c r="D27" s="90">
        <f t="shared" si="0"/>
        <v>-1.5172673134515424E-2</v>
      </c>
      <c r="E27" s="90"/>
      <c r="F27" s="304">
        <f>INDEX('Exhibit 6.3'!$H$10:$H$39,MATCH($A27,'Exhibit 6.3'!$B$10:$B$39,0))*$B27</f>
        <v>31959.196236456944</v>
      </c>
      <c r="G27" s="90"/>
      <c r="H27" s="90">
        <f t="shared" si="5"/>
        <v>-1.9096287982585225E-2</v>
      </c>
      <c r="I27" s="83"/>
      <c r="J27" s="88">
        <f>'Exhibit 6.3'!D39</f>
        <v>28685.718737776617</v>
      </c>
      <c r="K27" s="88"/>
      <c r="L27" s="90">
        <f t="shared" si="7"/>
        <v>-1.861884890871679E-2</v>
      </c>
      <c r="M27" s="90"/>
      <c r="N27" s="304">
        <f>INDEX('Exhibit 6.3'!$H$10:$H$39,MATCH($A27,'Exhibit 6.3'!$B$10:$B$39,0))*$J27</f>
        <v>29002.352848632941</v>
      </c>
      <c r="O27" s="90"/>
      <c r="P27" s="90">
        <f t="shared" si="6"/>
        <v>-2.252873397282551E-2</v>
      </c>
      <c r="Q27" s="83"/>
    </row>
    <row r="28" spans="1:17">
      <c r="A28" s="125"/>
      <c r="B28" s="83"/>
      <c r="C28" s="83"/>
      <c r="D28" s="83"/>
      <c r="E28" s="83"/>
      <c r="F28" s="88"/>
      <c r="G28" s="83"/>
      <c r="H28" s="83"/>
      <c r="I28" s="83"/>
      <c r="J28" s="83"/>
      <c r="K28" s="83"/>
      <c r="L28" s="83"/>
      <c r="M28" s="83"/>
      <c r="N28" s="83"/>
      <c r="O28" s="83"/>
      <c r="P28" s="83"/>
      <c r="Q28" s="83"/>
    </row>
    <row r="29" spans="1:17">
      <c r="A29" s="83" t="s">
        <v>258</v>
      </c>
      <c r="B29" s="83"/>
      <c r="C29" s="83"/>
      <c r="D29" s="83"/>
      <c r="E29" s="83"/>
      <c r="F29" s="83"/>
      <c r="G29" s="83"/>
      <c r="H29" s="83"/>
      <c r="I29" s="83"/>
      <c r="J29" s="83"/>
      <c r="K29" s="83"/>
      <c r="L29" s="83"/>
      <c r="M29" s="83"/>
      <c r="N29" s="83"/>
      <c r="O29" s="83"/>
      <c r="P29" s="83"/>
      <c r="Q29" s="83"/>
    </row>
    <row r="30" spans="1:17">
      <c r="A30" s="93" t="s">
        <v>541</v>
      </c>
      <c r="B30" s="83"/>
      <c r="C30" s="83"/>
      <c r="D30" s="83"/>
      <c r="E30" s="83"/>
      <c r="F30" s="83"/>
      <c r="G30" s="83"/>
      <c r="H30" s="374">
        <v>5.4641847343179117E-2</v>
      </c>
      <c r="I30" s="83"/>
      <c r="J30" s="83"/>
      <c r="K30" s="83"/>
      <c r="L30" s="83"/>
      <c r="M30" s="83"/>
      <c r="N30" s="83"/>
      <c r="O30" s="83"/>
      <c r="P30" s="324" t="s">
        <v>363</v>
      </c>
      <c r="Q30" s="83"/>
    </row>
    <row r="31" spans="1:17">
      <c r="A31" s="93" t="str">
        <f>"Trend Based on "&amp;$A$13&amp;" to "&amp;$A$27&amp;":"</f>
        <v>Trend Based on 2005 to 2019:</v>
      </c>
      <c r="B31" s="93"/>
      <c r="C31" s="93"/>
      <c r="D31" s="94"/>
      <c r="E31" s="94"/>
      <c r="G31" s="94"/>
      <c r="H31" s="94">
        <f>LOGEST(F$13:F$27)-1</f>
        <v>1.8585887177176685E-2</v>
      </c>
      <c r="I31" s="93"/>
      <c r="J31" s="93"/>
      <c r="K31" s="93"/>
      <c r="L31" s="94"/>
      <c r="M31" s="94"/>
      <c r="O31" s="90"/>
      <c r="P31" s="94">
        <f>LOGEST(N$13:N$27)-1</f>
        <v>1.6471769004265058E-2</v>
      </c>
      <c r="Q31" s="83"/>
    </row>
    <row r="32" spans="1:17">
      <c r="A32" s="93" t="str">
        <f>"Trend Based on "&amp;$A$23&amp;" to "&amp;$A$27&amp;":"</f>
        <v>Trend Based on 2015 to 2019:</v>
      </c>
      <c r="B32" s="93"/>
      <c r="C32" s="93"/>
      <c r="D32" s="94"/>
      <c r="E32" s="94"/>
      <c r="G32" s="94"/>
      <c r="H32" s="94">
        <f>LOGEST(F$23:F$27)-1</f>
        <v>1.8433126469425964E-3</v>
      </c>
      <c r="I32" s="93"/>
      <c r="J32" s="93"/>
      <c r="K32" s="93"/>
      <c r="L32" s="94"/>
      <c r="M32" s="94"/>
      <c r="O32" s="90"/>
      <c r="P32" s="94">
        <f>LOGEST(N$23:N$27)-1</f>
        <v>-7.4094047205996993E-4</v>
      </c>
      <c r="Q32" s="83"/>
    </row>
    <row r="33" spans="1:17">
      <c r="A33" s="83"/>
      <c r="B33" s="83"/>
      <c r="C33" s="83"/>
      <c r="D33" s="83"/>
      <c r="E33" s="83"/>
      <c r="F33" s="83"/>
      <c r="G33" s="83"/>
      <c r="H33" s="83"/>
      <c r="I33" s="83"/>
      <c r="J33" s="83"/>
      <c r="K33" s="83"/>
      <c r="L33" s="83"/>
      <c r="M33" s="83"/>
      <c r="N33" s="83"/>
      <c r="O33" s="83"/>
      <c r="P33" s="83"/>
      <c r="Q33" s="83"/>
    </row>
    <row r="34" spans="1:17">
      <c r="A34" s="83"/>
      <c r="B34" s="83"/>
      <c r="C34" s="83"/>
      <c r="D34" s="83"/>
      <c r="E34" s="83"/>
      <c r="F34" s="83"/>
      <c r="G34" s="83"/>
      <c r="H34" s="83"/>
      <c r="I34" s="83" t="s">
        <v>222</v>
      </c>
      <c r="J34" s="83"/>
      <c r="K34" s="83"/>
      <c r="L34" s="83"/>
      <c r="M34" s="83"/>
      <c r="O34" s="83"/>
      <c r="P34" s="374">
        <v>2.5000000000000001E-2</v>
      </c>
      <c r="Q34" s="83"/>
    </row>
    <row r="35" spans="1:17" ht="12.75" customHeight="1">
      <c r="A35" s="83"/>
      <c r="B35" s="83"/>
      <c r="C35" s="83"/>
      <c r="D35" s="83"/>
      <c r="E35" s="83"/>
      <c r="F35" s="83"/>
      <c r="G35" s="83"/>
      <c r="H35" s="83"/>
      <c r="I35" s="83"/>
      <c r="J35" s="83"/>
      <c r="K35" s="83"/>
      <c r="L35" s="83"/>
      <c r="M35" s="83"/>
      <c r="N35" s="83"/>
      <c r="O35" s="83"/>
      <c r="P35" s="83"/>
      <c r="Q35" s="83"/>
    </row>
    <row r="36" spans="1:17" ht="12.75" customHeight="1">
      <c r="A36" s="329" t="s">
        <v>372</v>
      </c>
      <c r="B36" s="327"/>
      <c r="C36" s="327"/>
      <c r="D36" s="327"/>
      <c r="E36" s="327"/>
      <c r="F36" s="327"/>
      <c r="G36" s="327"/>
      <c r="H36" s="327"/>
      <c r="I36" s="327"/>
      <c r="J36" s="327"/>
      <c r="K36" s="327"/>
      <c r="L36" s="327"/>
      <c r="M36" s="327"/>
      <c r="N36" s="327"/>
      <c r="O36" s="327"/>
      <c r="P36" s="327"/>
      <c r="Q36" s="327"/>
    </row>
    <row r="37" spans="1:17" ht="12.75" customHeight="1">
      <c r="A37" s="329" t="s">
        <v>373</v>
      </c>
      <c r="B37" s="327"/>
      <c r="C37" s="327"/>
      <c r="D37" s="327"/>
      <c r="E37" s="327"/>
      <c r="F37" s="327"/>
      <c r="G37" s="327"/>
      <c r="H37" s="327"/>
      <c r="I37" s="327"/>
      <c r="J37" s="327"/>
      <c r="K37" s="327"/>
      <c r="L37" s="327"/>
      <c r="M37" s="327"/>
      <c r="N37" s="327"/>
      <c r="O37" s="327"/>
      <c r="P37" s="327"/>
      <c r="Q37" s="327"/>
    </row>
    <row r="38" spans="1:17" ht="12.75" customHeight="1">
      <c r="A38" s="329" t="s">
        <v>374</v>
      </c>
      <c r="B38" s="327"/>
      <c r="C38" s="327"/>
      <c r="D38" s="327"/>
      <c r="E38" s="327"/>
      <c r="F38" s="327"/>
      <c r="G38" s="327"/>
      <c r="H38" s="327"/>
      <c r="I38" s="327"/>
      <c r="J38" s="327"/>
      <c r="K38" s="327"/>
      <c r="L38" s="327"/>
      <c r="M38" s="327"/>
      <c r="N38" s="327"/>
      <c r="O38" s="327"/>
      <c r="P38" s="327"/>
      <c r="Q38" s="327"/>
    </row>
    <row r="39" spans="1:17" ht="12.75" customHeight="1">
      <c r="A39" s="328" t="s">
        <v>341</v>
      </c>
      <c r="B39" s="328"/>
      <c r="C39" s="328"/>
      <c r="D39" s="328"/>
      <c r="E39" s="328"/>
      <c r="F39" s="328"/>
      <c r="G39" s="328"/>
      <c r="H39" s="328"/>
      <c r="I39" s="328"/>
      <c r="J39" s="328"/>
      <c r="K39" s="328"/>
      <c r="L39" s="328"/>
      <c r="M39" s="328"/>
      <c r="N39" s="328"/>
      <c r="O39" s="328"/>
      <c r="P39" s="328"/>
      <c r="Q39" s="328"/>
    </row>
    <row r="40" spans="1:17">
      <c r="A40" s="83"/>
      <c r="B40" s="83"/>
      <c r="C40" s="83"/>
      <c r="D40" s="83"/>
      <c r="E40" s="83"/>
      <c r="F40" s="83"/>
      <c r="G40" s="83"/>
      <c r="H40" s="83"/>
      <c r="I40" s="83"/>
      <c r="J40" s="83"/>
      <c r="K40" s="83"/>
      <c r="L40" s="83"/>
      <c r="M40" s="83"/>
      <c r="N40" s="83"/>
      <c r="O40" s="83"/>
      <c r="P40" s="83"/>
      <c r="Q40" s="83"/>
    </row>
    <row r="41" spans="1:17">
      <c r="A41" s="83" t="s">
        <v>207</v>
      </c>
      <c r="B41" s="83"/>
      <c r="C41" s="83"/>
      <c r="D41" s="83"/>
      <c r="E41" s="83"/>
      <c r="F41" s="83"/>
      <c r="G41" s="83"/>
      <c r="H41" s="83"/>
      <c r="I41" s="83"/>
      <c r="J41" s="83"/>
      <c r="K41" s="83"/>
      <c r="L41" s="83"/>
      <c r="M41" s="83"/>
      <c r="N41" s="83"/>
      <c r="O41" s="83"/>
      <c r="P41" s="83"/>
      <c r="Q41" s="83"/>
    </row>
  </sheetData>
  <mergeCells count="4">
    <mergeCell ref="B7:H7"/>
    <mergeCell ref="J5:P5"/>
    <mergeCell ref="J6:P6"/>
    <mergeCell ref="J7:P7"/>
  </mergeCells>
  <printOptions horizontalCentered="1"/>
  <pageMargins left="0.5" right="0.5" top="0.75" bottom="0.75" header="0.33" footer="0.33"/>
  <pageSetup scale="84" orientation="landscape" blackAndWhite="1" horizontalDpi="1200" verticalDpi="1200" r:id="rId1"/>
  <headerFooter scaleWithDoc="0"/>
  <ignoredErrors>
    <ignoredError sqref="A8:P8"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52"/>
  <sheetViews>
    <sheetView zoomScaleNormal="100" zoomScaleSheetLayoutView="115" workbookViewId="0"/>
  </sheetViews>
  <sheetFormatPr defaultColWidth="9.1328125" defaultRowHeight="12.75"/>
  <cols>
    <col min="1" max="1" width="9.1328125" style="110"/>
    <col min="2" max="2" width="5.86328125" style="110" customWidth="1"/>
    <col min="3" max="3" width="17.73046875" style="110" customWidth="1"/>
    <col min="4" max="4" width="5.86328125" style="110" customWidth="1"/>
    <col min="5" max="5" width="17.73046875" style="110" customWidth="1"/>
    <col min="6" max="6" width="5.86328125" style="110" customWidth="1"/>
    <col min="7" max="7" width="17.73046875" style="110" customWidth="1"/>
    <col min="8" max="8" width="5.86328125" style="110" customWidth="1"/>
    <col min="9" max="9" width="17.73046875" style="110" customWidth="1"/>
    <col min="10" max="10" width="1.59765625" style="110" customWidth="1"/>
    <col min="11" max="11" width="9.1328125" style="110"/>
    <col min="12" max="12" width="21.59765625" style="110" customWidth="1"/>
    <col min="13" max="14" width="21.1328125" style="110" customWidth="1"/>
    <col min="15" max="16384" width="9.1328125" style="110"/>
  </cols>
  <sheetData>
    <row r="1" spans="1:10" ht="13.15">
      <c r="A1" s="310" t="s">
        <v>223</v>
      </c>
      <c r="B1" s="275"/>
      <c r="C1" s="275"/>
      <c r="D1" s="275"/>
      <c r="E1" s="275"/>
      <c r="F1" s="275"/>
      <c r="G1" s="275"/>
      <c r="H1" s="275"/>
      <c r="I1" s="275"/>
      <c r="J1" s="126"/>
    </row>
    <row r="2" spans="1:10" ht="13.15">
      <c r="A2" s="279" t="s">
        <v>224</v>
      </c>
      <c r="B2" s="275"/>
      <c r="C2" s="275"/>
      <c r="D2" s="275"/>
      <c r="E2" s="275"/>
      <c r="F2" s="275"/>
      <c r="G2" s="275"/>
      <c r="H2" s="275"/>
      <c r="I2" s="275"/>
      <c r="J2" s="123"/>
    </row>
    <row r="3" spans="1:10" ht="13.15">
      <c r="A3" s="279" t="s">
        <v>516</v>
      </c>
      <c r="B3" s="275"/>
      <c r="C3" s="275"/>
      <c r="D3" s="275"/>
      <c r="E3" s="275"/>
      <c r="F3" s="275"/>
      <c r="G3" s="275"/>
      <c r="H3" s="275"/>
      <c r="I3" s="275"/>
      <c r="J3" s="123"/>
    </row>
    <row r="4" spans="1:10">
      <c r="A4" s="124"/>
      <c r="B4" s="124"/>
      <c r="C4" s="124"/>
      <c r="D4" s="124"/>
      <c r="E4" s="124"/>
      <c r="F4" s="124"/>
      <c r="G4" s="124"/>
      <c r="H4" s="124"/>
      <c r="I4" s="124"/>
      <c r="J4" s="124"/>
    </row>
    <row r="5" spans="1:10">
      <c r="A5" s="124"/>
      <c r="B5" s="124"/>
      <c r="C5" s="27" t="s">
        <v>45</v>
      </c>
      <c r="D5" s="27"/>
      <c r="E5" s="27" t="s">
        <v>46</v>
      </c>
      <c r="F5" s="27"/>
      <c r="G5" s="27" t="s">
        <v>47</v>
      </c>
      <c r="H5" s="27"/>
      <c r="I5" s="124" t="s">
        <v>48</v>
      </c>
      <c r="J5" s="27"/>
    </row>
    <row r="6" spans="1:10">
      <c r="A6" s="124"/>
      <c r="B6" s="124"/>
      <c r="C6" s="70"/>
      <c r="D6" s="124"/>
      <c r="E6" s="124"/>
      <c r="F6" s="124"/>
      <c r="G6" s="124"/>
      <c r="H6" s="124"/>
      <c r="I6" s="124" t="s">
        <v>225</v>
      </c>
      <c r="J6" s="124"/>
    </row>
    <row r="7" spans="1:10">
      <c r="A7" s="61" t="s">
        <v>54</v>
      </c>
      <c r="B7" s="62"/>
      <c r="C7" s="124" t="s">
        <v>226</v>
      </c>
      <c r="D7" s="62"/>
      <c r="E7" s="61" t="s">
        <v>227</v>
      </c>
      <c r="F7" s="62"/>
      <c r="G7" s="61" t="s">
        <v>228</v>
      </c>
      <c r="H7" s="62"/>
      <c r="I7" s="124" t="s">
        <v>229</v>
      </c>
      <c r="J7" s="62"/>
    </row>
    <row r="8" spans="1:10">
      <c r="A8" s="26" t="s">
        <v>8</v>
      </c>
      <c r="B8" s="26"/>
      <c r="C8" s="26" t="s">
        <v>366</v>
      </c>
      <c r="D8" s="26"/>
      <c r="E8" s="26" t="s">
        <v>367</v>
      </c>
      <c r="F8" s="26"/>
      <c r="G8" s="26" t="s">
        <v>368</v>
      </c>
      <c r="H8" s="26"/>
      <c r="I8" s="26" t="s">
        <v>230</v>
      </c>
      <c r="J8" s="124"/>
    </row>
    <row r="9" spans="1:10">
      <c r="A9" s="124"/>
      <c r="B9" s="124"/>
      <c r="C9" s="70"/>
      <c r="D9" s="70"/>
      <c r="E9" s="70"/>
      <c r="F9" s="70"/>
      <c r="G9" s="70"/>
      <c r="H9" s="124"/>
      <c r="I9" s="124" t="s">
        <v>231</v>
      </c>
      <c r="J9" s="124"/>
    </row>
    <row r="10" spans="1:10">
      <c r="A10" s="188">
        <v>1987</v>
      </c>
      <c r="B10" s="30"/>
      <c r="C10" s="33">
        <f>+SUMIFS('Exhibit 3.1'!F:F,'Exhibit 3.1'!B:B,$A10)</f>
        <v>0.34612090882117857</v>
      </c>
      <c r="D10" s="30"/>
      <c r="E10" s="33">
        <f>+SUMIFS('Exhibit 4.1'!L:L,'Exhibit 4.1'!B:B,$A10)</f>
        <v>1.5364451609497567</v>
      </c>
      <c r="F10" s="30"/>
      <c r="G10" s="33">
        <f>SUMIFS('Exhibit 5.2'!S:S,'Exhibit 5.2'!A:A,A10)</f>
        <v>1.8068528368793828</v>
      </c>
      <c r="H10" s="30"/>
      <c r="I10" s="33">
        <f t="shared" ref="I10:I38" si="0">C10*E10/G10</f>
        <v>0.29432158757339461</v>
      </c>
      <c r="J10" s="30"/>
    </row>
    <row r="11" spans="1:10">
      <c r="A11" s="286">
        <f t="shared" ref="A11:A42" si="1">A10+1</f>
        <v>1988</v>
      </c>
      <c r="B11" s="30"/>
      <c r="C11" s="33">
        <f>+SUMIFS('Exhibit 3.1'!F:F,'Exhibit 3.1'!B:B,$A11)</f>
        <v>0.33108246855601431</v>
      </c>
      <c r="D11" s="30"/>
      <c r="E11" s="33">
        <f>+SUMIFS('Exhibit 4.1'!L:L,'Exhibit 4.1'!B:B,$A11)</f>
        <v>1.5137390748273467</v>
      </c>
      <c r="F11" s="30"/>
      <c r="G11" s="33">
        <f>SUMIFS('Exhibit 5.2'!S:S,'Exhibit 5.2'!A:A,A11)</f>
        <v>1.5833420742308735</v>
      </c>
      <c r="H11" s="30"/>
      <c r="I11" s="33">
        <f t="shared" si="0"/>
        <v>0.31652823341221797</v>
      </c>
      <c r="J11" s="30"/>
    </row>
    <row r="12" spans="1:10">
      <c r="A12" s="286">
        <f t="shared" si="1"/>
        <v>1989</v>
      </c>
      <c r="B12" s="30"/>
      <c r="C12" s="33">
        <f>+SUMIFS('Exhibit 3.1'!F:F,'Exhibit 3.1'!B:B,$A12)</f>
        <v>0.34381185299127914</v>
      </c>
      <c r="D12" s="30"/>
      <c r="E12" s="33">
        <f>+SUMIFS('Exhibit 4.1'!L:L,'Exhibit 4.1'!B:B,$A12)</f>
        <v>1.4913685466279278</v>
      </c>
      <c r="F12" s="30"/>
      <c r="G12" s="33">
        <f>SUMIFS('Exhibit 5.2'!S:S,'Exhibit 5.2'!A:A,A12)</f>
        <v>1.5229637431642615</v>
      </c>
      <c r="H12" s="30"/>
      <c r="I12" s="33">
        <f t="shared" si="0"/>
        <v>0.33667917953431892</v>
      </c>
      <c r="J12" s="30"/>
    </row>
    <row r="13" spans="1:10">
      <c r="A13" s="286">
        <f t="shared" si="1"/>
        <v>1990</v>
      </c>
      <c r="B13" s="30"/>
      <c r="C13" s="33">
        <f>+SUMIFS('Exhibit 3.1'!F:F,'Exhibit 3.1'!B:B,$A13)</f>
        <v>0.39878724740171023</v>
      </c>
      <c r="D13" s="30"/>
      <c r="E13" s="33">
        <f>+SUMIFS('Exhibit 4.1'!L:L,'Exhibit 4.1'!B:B,$A13)</f>
        <v>1.1955540355232632</v>
      </c>
      <c r="F13" s="30"/>
      <c r="G13" s="33">
        <f>SUMIFS('Exhibit 5.2'!S:S,'Exhibit 5.2'!A:A,A13)</f>
        <v>1.415759655254182</v>
      </c>
      <c r="H13" s="30"/>
      <c r="I13" s="33">
        <f t="shared" si="0"/>
        <v>0.3367603400597895</v>
      </c>
      <c r="J13" s="30"/>
    </row>
    <row r="14" spans="1:10">
      <c r="A14" s="286">
        <f t="shared" si="1"/>
        <v>1991</v>
      </c>
      <c r="B14" s="30"/>
      <c r="C14" s="33">
        <f>+SUMIFS('Exhibit 3.1'!F:F,'Exhibit 3.1'!B:B,$A14)</f>
        <v>0.42536005549490719</v>
      </c>
      <c r="D14" s="30"/>
      <c r="E14" s="33">
        <f>+SUMIFS('Exhibit 4.1'!L:L,'Exhibit 4.1'!B:B,$A14)</f>
        <v>0.984898103911647</v>
      </c>
      <c r="F14" s="30"/>
      <c r="G14" s="33">
        <f>SUMIFS('Exhibit 5.2'!S:S,'Exhibit 5.2'!A:A,A14)</f>
        <v>1.2814419818117742</v>
      </c>
      <c r="H14" s="30"/>
      <c r="I14" s="33">
        <f t="shared" si="0"/>
        <v>0.32692569627254719</v>
      </c>
      <c r="J14" s="30"/>
    </row>
    <row r="15" spans="1:10">
      <c r="A15" s="286">
        <f t="shared" si="1"/>
        <v>1992</v>
      </c>
      <c r="B15" s="30"/>
      <c r="C15" s="33">
        <f>+SUMIFS('Exhibit 3.1'!F:F,'Exhibit 3.1'!B:B,$A15)</f>
        <v>0.35043359959623083</v>
      </c>
      <c r="D15" s="30"/>
      <c r="E15" s="33">
        <f>+SUMIFS('Exhibit 4.1'!L:L,'Exhibit 4.1'!B:B,$A15)</f>
        <v>1.0384377792438759</v>
      </c>
      <c r="F15" s="30"/>
      <c r="G15" s="33">
        <f>SUMIFS('Exhibit 5.2'!S:S,'Exhibit 5.2'!A:A,A15)</f>
        <v>1.1652175762669672</v>
      </c>
      <c r="H15" s="30"/>
      <c r="I15" s="33">
        <f t="shared" si="0"/>
        <v>0.3123051834688188</v>
      </c>
      <c r="J15" s="30"/>
    </row>
    <row r="16" spans="1:10">
      <c r="A16" s="286">
        <f t="shared" si="1"/>
        <v>1993</v>
      </c>
      <c r="B16" s="30"/>
      <c r="C16" s="33">
        <f>+SUMIFS('Exhibit 3.1'!F:F,'Exhibit 3.1'!B:B,$A16)</f>
        <v>0.28779163597107127</v>
      </c>
      <c r="D16" s="30"/>
      <c r="E16" s="33">
        <f>+SUMIFS('Exhibit 4.1'!L:L,'Exhibit 4.1'!B:B,$A16)</f>
        <v>1.2603615442328182</v>
      </c>
      <c r="F16" s="30"/>
      <c r="G16" s="33">
        <f>SUMIFS('Exhibit 5.2'!S:S,'Exhibit 5.2'!A:A,A16)</f>
        <v>1.1271085194582768</v>
      </c>
      <c r="H16" s="30"/>
      <c r="I16" s="33">
        <f t="shared" si="0"/>
        <v>0.32181596045793676</v>
      </c>
      <c r="J16" s="30"/>
    </row>
    <row r="17" spans="1:10">
      <c r="A17" s="286">
        <f t="shared" si="1"/>
        <v>1994</v>
      </c>
      <c r="B17" s="30"/>
      <c r="C17" s="33">
        <f>+SUMIFS('Exhibit 3.1'!F:F,'Exhibit 3.1'!B:B,$A17)</f>
        <v>0.32634356055599834</v>
      </c>
      <c r="D17" s="30"/>
      <c r="E17" s="33">
        <f>+SUMIFS('Exhibit 4.1'!L:L,'Exhibit 4.1'!B:B,$A17)</f>
        <v>1.3175382400305886</v>
      </c>
      <c r="F17" s="30"/>
      <c r="G17" s="33">
        <f>SUMIFS('Exhibit 5.2'!S:S,'Exhibit 5.2'!A:A,A17)</f>
        <v>1.274517944031857</v>
      </c>
      <c r="H17" s="30"/>
      <c r="I17" s="33">
        <f t="shared" si="0"/>
        <v>0.33735901674328928</v>
      </c>
      <c r="J17" s="30"/>
    </row>
    <row r="18" spans="1:10">
      <c r="A18" s="286">
        <f t="shared" si="1"/>
        <v>1995</v>
      </c>
      <c r="B18" s="30"/>
      <c r="C18" s="33">
        <f>+SUMIFS('Exhibit 3.1'!F:F,'Exhibit 3.1'!B:B,$A18)</f>
        <v>0.47068588552186069</v>
      </c>
      <c r="D18" s="30"/>
      <c r="E18" s="33">
        <f>+SUMIFS('Exhibit 4.1'!L:L,'Exhibit 4.1'!B:B,$A18)</f>
        <v>1.2198617392175441</v>
      </c>
      <c r="F18" s="30"/>
      <c r="G18" s="33">
        <f>SUMIFS('Exhibit 5.2'!S:S,'Exhibit 5.2'!A:A,A18)</f>
        <v>1.6738356157978509</v>
      </c>
      <c r="H18" s="30"/>
      <c r="I18" s="33">
        <f t="shared" si="0"/>
        <v>0.34302753359932664</v>
      </c>
      <c r="J18" s="30"/>
    </row>
    <row r="19" spans="1:10">
      <c r="A19" s="286">
        <f t="shared" si="1"/>
        <v>1996</v>
      </c>
      <c r="B19" s="30"/>
      <c r="C19" s="33">
        <f>+SUMIFS('Exhibit 3.1'!F:F,'Exhibit 3.1'!B:B,$A19)</f>
        <v>0.52809903735221919</v>
      </c>
      <c r="D19" s="30"/>
      <c r="E19" s="33">
        <f>+SUMIFS('Exhibit 4.1'!L:L,'Exhibit 4.1'!B:B,$A19)</f>
        <v>1.1401658092335381</v>
      </c>
      <c r="F19" s="30"/>
      <c r="G19" s="33">
        <f>SUMIFS('Exhibit 5.2'!S:S,'Exhibit 5.2'!A:A,A19)</f>
        <v>1.7311821222463704</v>
      </c>
      <c r="H19" s="30"/>
      <c r="I19" s="33">
        <f t="shared" si="0"/>
        <v>0.34780885184791416</v>
      </c>
      <c r="J19" s="30"/>
    </row>
    <row r="20" spans="1:10">
      <c r="A20" s="286">
        <f t="shared" si="1"/>
        <v>1997</v>
      </c>
      <c r="B20" s="30"/>
      <c r="C20" s="33">
        <f>+SUMIFS('Exhibit 3.1'!F:F,'Exhibit 3.1'!B:B,$A20)</f>
        <v>0.59818855911695068</v>
      </c>
      <c r="D20" s="30"/>
      <c r="E20" s="33">
        <f>+SUMIFS('Exhibit 4.1'!L:L,'Exhibit 4.1'!B:B,$A20)</f>
        <v>1.0209393811820244</v>
      </c>
      <c r="F20" s="30"/>
      <c r="G20" s="33">
        <f>SUMIFS('Exhibit 5.2'!S:S,'Exhibit 5.2'!A:A,A20)</f>
        <v>1.6811280357950653</v>
      </c>
      <c r="H20" s="30"/>
      <c r="I20" s="33">
        <f t="shared" si="0"/>
        <v>0.3632764693536254</v>
      </c>
      <c r="J20" s="30"/>
    </row>
    <row r="21" spans="1:10">
      <c r="A21" s="286">
        <f t="shared" si="1"/>
        <v>1998</v>
      </c>
      <c r="B21" s="30"/>
      <c r="C21" s="33">
        <f>+SUMIFS('Exhibit 3.1'!F:F,'Exhibit 3.1'!B:B,$A21)</f>
        <v>0.64969832358509394</v>
      </c>
      <c r="D21" s="30"/>
      <c r="E21" s="33">
        <f>+SUMIFS('Exhibit 4.1'!L:L,'Exhibit 4.1'!B:B,$A21)</f>
        <v>0.94167831722149153</v>
      </c>
      <c r="F21" s="30"/>
      <c r="G21" s="33">
        <f>SUMIFS('Exhibit 5.2'!S:S,'Exhibit 5.2'!A:A,A21)</f>
        <v>1.6881657156842962</v>
      </c>
      <c r="H21" s="30"/>
      <c r="I21" s="33">
        <f t="shared" si="0"/>
        <v>0.36240922225294697</v>
      </c>
      <c r="J21" s="30"/>
    </row>
    <row r="22" spans="1:10">
      <c r="A22" s="286">
        <f t="shared" si="1"/>
        <v>1999</v>
      </c>
      <c r="B22" s="30"/>
      <c r="C22" s="33">
        <f ca="1">+SUMIFS('Exhibit 3.1'!F:F,'Exhibit 3.1'!B:B,$A22)</f>
        <v>0.68334225635942281</v>
      </c>
      <c r="D22" s="30"/>
      <c r="E22" s="33">
        <f>+SUMIFS('Exhibit 4.1'!L:L,'Exhibit 4.1'!B:B,$A22)</f>
        <v>0.87257314208758152</v>
      </c>
      <c r="F22" s="30"/>
      <c r="G22" s="33">
        <f>SUMIFS('Exhibit 5.2'!S:S,'Exhibit 5.2'!A:A,A22)</f>
        <v>1.6034516551492426</v>
      </c>
      <c r="H22" s="30"/>
      <c r="I22" s="33">
        <f t="shared" ca="1" si="0"/>
        <v>0.37186409570749501</v>
      </c>
      <c r="J22" s="30"/>
    </row>
    <row r="23" spans="1:10">
      <c r="A23" s="286">
        <f t="shared" si="1"/>
        <v>2000</v>
      </c>
      <c r="B23" s="30"/>
      <c r="C23" s="33">
        <f ca="1">+SUMIFS('Exhibit 3.1'!F:F,'Exhibit 3.1'!B:B,$A23)</f>
        <v>0.59047289819945581</v>
      </c>
      <c r="D23" s="30"/>
      <c r="E23" s="33">
        <f>+SUMIFS('Exhibit 4.1'!L:L,'Exhibit 4.1'!B:B,$A23)</f>
        <v>0.81456853152613695</v>
      </c>
      <c r="F23" s="30"/>
      <c r="G23" s="33">
        <f>SUMIFS('Exhibit 5.2'!S:S,'Exhibit 5.2'!A:A,A23)</f>
        <v>1.2688373783172531</v>
      </c>
      <c r="H23" s="30"/>
      <c r="I23" s="33">
        <f t="shared" ca="1" si="0"/>
        <v>0.37907193609806406</v>
      </c>
      <c r="J23" s="30"/>
    </row>
    <row r="24" spans="1:10">
      <c r="A24" s="286">
        <f t="shared" si="1"/>
        <v>2001</v>
      </c>
      <c r="B24" s="30"/>
      <c r="C24" s="33">
        <f ca="1">+SUMIFS('Exhibit 3.1'!F:F,'Exhibit 3.1'!B:B,$A24)</f>
        <v>0.48964675027788523</v>
      </c>
      <c r="D24" s="30"/>
      <c r="E24" s="33">
        <f>+SUMIFS('Exhibit 4.1'!L:L,'Exhibit 4.1'!B:B,$A24)</f>
        <v>0.81538881267168462</v>
      </c>
      <c r="F24" s="30"/>
      <c r="G24" s="33">
        <f>SUMIFS('Exhibit 5.2'!S:S,'Exhibit 5.2'!A:A,A24)</f>
        <v>1.0849076360176175</v>
      </c>
      <c r="H24" s="30"/>
      <c r="I24" s="33">
        <f t="shared" ca="1" si="0"/>
        <v>0.36800596574577926</v>
      </c>
      <c r="J24" s="30"/>
    </row>
    <row r="25" spans="1:10">
      <c r="A25" s="286">
        <f t="shared" si="1"/>
        <v>2002</v>
      </c>
      <c r="B25" s="30"/>
      <c r="C25" s="33">
        <f ca="1">+SUMIFS('Exhibit 3.1'!F:F,'Exhibit 3.1'!B:B,$A25)</f>
        <v>0.36495074182081311</v>
      </c>
      <c r="D25" s="30"/>
      <c r="E25" s="33">
        <f>+SUMIFS('Exhibit 4.1'!L:L,'Exhibit 4.1'!B:B,$A25)</f>
        <v>0.83518622457280911</v>
      </c>
      <c r="F25" s="30"/>
      <c r="G25" s="33">
        <f>SUMIFS('Exhibit 5.2'!S:S,'Exhibit 5.2'!A:A,A25)</f>
        <v>0.83603029823117636</v>
      </c>
      <c r="H25" s="30"/>
      <c r="I25" s="33">
        <f t="shared" ca="1" si="0"/>
        <v>0.36458227992604175</v>
      </c>
      <c r="J25" s="30"/>
    </row>
    <row r="26" spans="1:10">
      <c r="A26" s="286">
        <f t="shared" si="1"/>
        <v>2003</v>
      </c>
      <c r="B26" s="30"/>
      <c r="C26" s="33">
        <f ca="1">+SUMIFS('Exhibit 3.1'!F:F,'Exhibit 3.1'!B:B,$A26)</f>
        <v>0.24110439051987728</v>
      </c>
      <c r="D26" s="30"/>
      <c r="E26" s="33">
        <f>+SUMIFS('Exhibit 4.1'!L:L,'Exhibit 4.1'!B:B,$A26)</f>
        <v>0.83260198854766609</v>
      </c>
      <c r="F26" s="30"/>
      <c r="G26" s="33">
        <f>SUMIFS('Exhibit 5.2'!S:S,'Exhibit 5.2'!A:A,A26)</f>
        <v>0.59525405509613394</v>
      </c>
      <c r="H26" s="30"/>
      <c r="I26" s="33">
        <f t="shared" ca="1" si="0"/>
        <v>0.33724086929908037</v>
      </c>
      <c r="J26" s="30"/>
    </row>
    <row r="27" spans="1:10">
      <c r="A27" s="286">
        <f t="shared" si="1"/>
        <v>2004</v>
      </c>
      <c r="B27" s="30"/>
      <c r="C27" s="33">
        <f ca="1">+SUMIFS('Exhibit 3.1'!F:F,'Exhibit 3.1'!B:B,$A27)</f>
        <v>0.14440273836238127</v>
      </c>
      <c r="D27" s="30"/>
      <c r="E27" s="33">
        <f>+SUMIFS('Exhibit 4.1'!L:L,'Exhibit 4.1'!B:B,$A27)</f>
        <v>1.1397396784325564</v>
      </c>
      <c r="F27" s="30"/>
      <c r="G27" s="33">
        <f>SUMIFS('Exhibit 5.2'!S:S,'Exhibit 5.2'!A:A,A27)</f>
        <v>0.53530870627786675</v>
      </c>
      <c r="H27" s="30"/>
      <c r="I27" s="33">
        <f t="shared" ca="1" si="0"/>
        <v>0.30745162306493562</v>
      </c>
      <c r="J27" s="30"/>
    </row>
    <row r="28" spans="1:10">
      <c r="A28" s="286">
        <f t="shared" si="1"/>
        <v>2005</v>
      </c>
      <c r="B28" s="30"/>
      <c r="C28" s="33">
        <f ca="1">+SUMIFS('Exhibit 3.1'!F:F,'Exhibit 3.1'!B:B,$A28)</f>
        <v>0.12365309477408795</v>
      </c>
      <c r="D28" s="30"/>
      <c r="E28" s="33">
        <f>+SUMIFS('Exhibit 4.1'!L:L,'Exhibit 4.1'!B:B,$A28)</f>
        <v>1.5447085455987011</v>
      </c>
      <c r="F28" s="30"/>
      <c r="G28" s="33">
        <f>SUMIFS('Exhibit 5.2'!S:S,'Exhibit 5.2'!A:A,A28)</f>
        <v>0.59250885955063215</v>
      </c>
      <c r="H28" s="30"/>
      <c r="I28" s="33">
        <f t="shared" ca="1" si="0"/>
        <v>0.32237153775577831</v>
      </c>
      <c r="J28" s="30"/>
    </row>
    <row r="29" spans="1:10">
      <c r="A29" s="286">
        <f t="shared" si="1"/>
        <v>2006</v>
      </c>
      <c r="B29" s="30"/>
      <c r="C29" s="33">
        <f ca="1">+SUMIFS('Exhibit 3.1'!F:F,'Exhibit 3.1'!B:B,$A29)</f>
        <v>0.1600662930839338</v>
      </c>
      <c r="D29" s="30"/>
      <c r="E29" s="33">
        <f>+SUMIFS('Exhibit 4.1'!L:L,'Exhibit 4.1'!B:B,$A29)</f>
        <v>1.517819200631809</v>
      </c>
      <c r="F29" s="30"/>
      <c r="G29" s="33">
        <f>SUMIFS('Exhibit 5.2'!S:S,'Exhibit 5.2'!A:A,A29)</f>
        <v>0.76196163769647496</v>
      </c>
      <c r="H29" s="30"/>
      <c r="I29" s="33">
        <f t="shared" ca="1" si="0"/>
        <v>0.31885029507683998</v>
      </c>
      <c r="J29" s="30"/>
    </row>
    <row r="30" spans="1:10">
      <c r="A30" s="286">
        <f t="shared" si="1"/>
        <v>2007</v>
      </c>
      <c r="B30" s="30"/>
      <c r="C30" s="33">
        <f ca="1">+SUMIFS('Exhibit 3.1'!F:F,'Exhibit 3.1'!B:B,$A30)</f>
        <v>0.22126144552073596</v>
      </c>
      <c r="D30" s="30"/>
      <c r="E30" s="33">
        <f>+SUMIFS('Exhibit 4.1'!L:L,'Exhibit 4.1'!B:B,$A30)</f>
        <v>1.4631895553917045</v>
      </c>
      <c r="F30" s="30"/>
      <c r="G30" s="33">
        <f>SUMIFS('Exhibit 5.2'!S:S,'Exhibit 5.2'!A:A,A30)</f>
        <v>0.97395448064098578</v>
      </c>
      <c r="H30" s="30"/>
      <c r="I30" s="33">
        <f t="shared" ca="1" si="0"/>
        <v>0.3324050995522343</v>
      </c>
      <c r="J30" s="30"/>
    </row>
    <row r="31" spans="1:10">
      <c r="A31" s="286">
        <f t="shared" si="1"/>
        <v>2008</v>
      </c>
      <c r="B31" s="30"/>
      <c r="C31" s="33">
        <f ca="1">+SUMIFS('Exhibit 3.1'!F:F,'Exhibit 3.1'!B:B,$A31)</f>
        <v>0.2806145232787382</v>
      </c>
      <c r="D31" s="30"/>
      <c r="E31" s="33">
        <f>+SUMIFS('Exhibit 4.1'!L:L,'Exhibit 4.1'!B:B,$A31)</f>
        <v>1.3741051117823557</v>
      </c>
      <c r="F31" s="30"/>
      <c r="G31" s="33">
        <f>SUMIFS('Exhibit 5.2'!S:S,'Exhibit 5.2'!A:A,A31)</f>
        <v>1.1767664676974103</v>
      </c>
      <c r="H31" s="30"/>
      <c r="I31" s="33">
        <f t="shared" ca="1" si="0"/>
        <v>0.32767236445152792</v>
      </c>
      <c r="J31" s="30"/>
    </row>
    <row r="32" spans="1:10">
      <c r="A32" s="286">
        <f t="shared" si="1"/>
        <v>2009</v>
      </c>
      <c r="B32" s="30"/>
      <c r="C32" s="33">
        <f ca="1">+SUMIFS('Exhibit 3.1'!F:F,'Exhibit 3.1'!B:B,$A32)</f>
        <v>0.32898213423590711</v>
      </c>
      <c r="D32" s="30"/>
      <c r="E32" s="33">
        <f>+SUMIFS('Exhibit 4.1'!L:L,'Exhibit 4.1'!B:B,$A32)</f>
        <v>1.3470402286400147</v>
      </c>
      <c r="F32" s="30"/>
      <c r="G32" s="33">
        <f>SUMIFS('Exhibit 5.2'!S:S,'Exhibit 5.2'!A:A,A32)</f>
        <v>1.2693147277362777</v>
      </c>
      <c r="H32" s="30"/>
      <c r="I32" s="33">
        <f t="shared" ca="1" si="0"/>
        <v>0.3491270995570524</v>
      </c>
      <c r="J32" s="30"/>
    </row>
    <row r="33" spans="1:13">
      <c r="A33" s="286">
        <f t="shared" si="1"/>
        <v>2010</v>
      </c>
      <c r="B33" s="30"/>
      <c r="C33" s="33">
        <f ca="1">+SUMIFS('Exhibit 3.1'!F:F,'Exhibit 3.1'!B:B,$A33)</f>
        <v>0.31859944812815061</v>
      </c>
      <c r="D33" s="30"/>
      <c r="E33" s="33">
        <f>+SUMIFS('Exhibit 4.1'!L:L,'Exhibit 4.1'!B:B,$A33)</f>
        <v>1.3218458468000067</v>
      </c>
      <c r="F33" s="30"/>
      <c r="G33" s="33">
        <f>SUMIFS('Exhibit 5.2'!S:S,'Exhibit 5.2'!A:A,A33)</f>
        <v>1.1539345090797875</v>
      </c>
      <c r="H33" s="30"/>
      <c r="I33" s="33">
        <f t="shared" ca="1" si="0"/>
        <v>0.36495949639014641</v>
      </c>
      <c r="J33" s="30"/>
    </row>
    <row r="34" spans="1:13">
      <c r="A34" s="286">
        <f t="shared" si="1"/>
        <v>2011</v>
      </c>
      <c r="B34" s="30"/>
      <c r="C34" s="33">
        <f ca="1">+SUMIFS('Exhibit 3.1'!F:F,'Exhibit 3.1'!B:B,$A34)</f>
        <v>0.29817081094704928</v>
      </c>
      <c r="D34" s="30"/>
      <c r="E34" s="33">
        <f>+SUMIFS('Exhibit 4.1'!L:L,'Exhibit 4.1'!B:B,$A34)</f>
        <v>1.3035955096647009</v>
      </c>
      <c r="F34" s="30"/>
      <c r="G34" s="33">
        <f>SUMIFS('Exhibit 5.2'!S:S,'Exhibit 5.2'!A:A,A34)</f>
        <v>1.054067754062866</v>
      </c>
      <c r="H34" s="30"/>
      <c r="I34" s="33">
        <f t="shared" ca="1" si="0"/>
        <v>0.36875630505292323</v>
      </c>
      <c r="J34" s="30"/>
    </row>
    <row r="35" spans="1:13">
      <c r="A35" s="286">
        <f t="shared" si="1"/>
        <v>2012</v>
      </c>
      <c r="B35" s="30"/>
      <c r="C35" s="33">
        <f ca="1">+SUMIFS('Exhibit 3.1'!F:F,'Exhibit 3.1'!B:B,$A35)</f>
        <v>0.26712858463304623</v>
      </c>
      <c r="D35" s="30"/>
      <c r="E35" s="33">
        <f>+SUMIFS('Exhibit 4.1'!L:L,'Exhibit 4.1'!B:B,$A35)</f>
        <v>1.2874479623516675</v>
      </c>
      <c r="F35" s="30"/>
      <c r="G35" s="33">
        <f>SUMIFS('Exhibit 5.2'!S:S,'Exhibit 5.2'!A:A,A35)</f>
        <v>0.93842796026626063</v>
      </c>
      <c r="H35" s="30"/>
      <c r="I35" s="33">
        <f t="shared" ca="1" si="0"/>
        <v>0.36647901227721452</v>
      </c>
      <c r="J35" s="30"/>
    </row>
    <row r="36" spans="1:13">
      <c r="A36" s="286">
        <f t="shared" si="1"/>
        <v>2013</v>
      </c>
      <c r="B36" s="33"/>
      <c r="C36" s="33">
        <f ca="1">+SUMIFS('Exhibit 3.1'!F:F,'Exhibit 3.1'!B:B,$A36)</f>
        <v>0.22950009056199894</v>
      </c>
      <c r="D36" s="33"/>
      <c r="E36" s="33">
        <f>+SUMIFS('Exhibit 4.1'!L:L,'Exhibit 4.1'!B:B,$A36)</f>
        <v>1.259012739756117</v>
      </c>
      <c r="F36" s="33"/>
      <c r="G36" s="33">
        <f>SUMIFS('Exhibit 5.2'!S:S,'Exhibit 5.2'!A:A,A36)</f>
        <v>0.81996785402205441</v>
      </c>
      <c r="H36" s="61"/>
      <c r="I36" s="33">
        <f t="shared" ca="1" si="0"/>
        <v>0.35238398234202922</v>
      </c>
      <c r="J36" s="33"/>
    </row>
    <row r="37" spans="1:13">
      <c r="A37" s="286">
        <f t="shared" si="1"/>
        <v>2014</v>
      </c>
      <c r="B37" s="33"/>
      <c r="C37" s="33">
        <f ca="1">+SUMIFS('Exhibit 3.1'!F:F,'Exhibit 3.1'!B:B,$A37)</f>
        <v>0.21915002726429345</v>
      </c>
      <c r="D37" s="33"/>
      <c r="E37" s="33">
        <f>+SUMIFS('Exhibit 4.1'!L:L,'Exhibit 4.1'!B:B,$A37)</f>
        <v>1.1529950817673118</v>
      </c>
      <c r="F37" s="33"/>
      <c r="G37" s="33">
        <f>SUMIFS('Exhibit 5.2'!S:S,'Exhibit 5.2'!A:A,A37)</f>
        <v>0.75556755366359474</v>
      </c>
      <c r="H37" s="61"/>
      <c r="I37" s="33">
        <f t="shared" ca="1" si="0"/>
        <v>0.33442265007240396</v>
      </c>
      <c r="J37" s="33"/>
    </row>
    <row r="38" spans="1:13">
      <c r="A38" s="286">
        <f t="shared" si="1"/>
        <v>2015</v>
      </c>
      <c r="B38" s="33"/>
      <c r="C38" s="33">
        <f ca="1">+SUMIFS('Exhibit 3.1'!F:F,'Exhibit 3.1'!B:B,$A38)</f>
        <v>0.21329499065914442</v>
      </c>
      <c r="D38" s="33"/>
      <c r="E38" s="33">
        <f>+SUMIFS('Exhibit 4.1'!L:L,'Exhibit 4.1'!B:B,$A38)</f>
        <v>1.1366001086808619</v>
      </c>
      <c r="F38" s="33"/>
      <c r="G38" s="33">
        <f>SUMIFS('Exhibit 5.2'!S:S,'Exhibit 5.2'!A:A,A38)</f>
        <v>0.72184897512265223</v>
      </c>
      <c r="H38" s="61"/>
      <c r="I38" s="33">
        <f t="shared" ca="1" si="0"/>
        <v>0.33584741118884948</v>
      </c>
      <c r="J38" s="33"/>
    </row>
    <row r="39" spans="1:13">
      <c r="A39" s="286">
        <f t="shared" si="1"/>
        <v>2016</v>
      </c>
      <c r="B39" s="33"/>
      <c r="C39" s="33">
        <f ca="1">+SUMIFS('Exhibit 3.1'!F:F,'Exhibit 3.1'!B:B,$A39)</f>
        <v>0.20180809881320932</v>
      </c>
      <c r="D39" s="33"/>
      <c r="E39" s="33">
        <f>+SUMIFS('Exhibit 4.1'!L:L,'Exhibit 4.1'!B:B,$A39)</f>
        <v>1.1223163880106504</v>
      </c>
      <c r="F39" s="33"/>
      <c r="G39" s="33">
        <f>SUMIFS('Exhibit 5.2'!S:S,'Exhibit 5.2'!A:A,A39)</f>
        <v>0.74672272830276665</v>
      </c>
      <c r="H39" s="61"/>
      <c r="I39" s="33">
        <f ca="1">C39*E39/G39</f>
        <v>0.30331544487220119</v>
      </c>
      <c r="J39" s="33"/>
    </row>
    <row r="40" spans="1:13">
      <c r="A40" s="286">
        <f t="shared" si="1"/>
        <v>2017</v>
      </c>
      <c r="B40" s="33"/>
      <c r="C40" s="33">
        <f ca="1">+SUMIFS('Exhibit 3.1'!F:F,'Exhibit 3.1'!B:B,$A40)</f>
        <v>0.20568707729445504</v>
      </c>
      <c r="D40" s="33"/>
      <c r="E40" s="33">
        <f>+SUMIFS('Exhibit 4.1'!L:L,'Exhibit 4.1'!B:B,$A40)</f>
        <v>1.0930197426407533</v>
      </c>
      <c r="F40" s="33"/>
      <c r="G40" s="33">
        <f>SUMIFS('Exhibit 5.2'!S:S,'Exhibit 5.2'!A:A,A40)</f>
        <v>0.78289259462770722</v>
      </c>
      <c r="H40" s="61"/>
      <c r="I40" s="33">
        <f ca="1">C40*E40/G40</f>
        <v>0.28716587413350586</v>
      </c>
      <c r="J40" s="30"/>
    </row>
    <row r="41" spans="1:13" ht="14.25">
      <c r="A41" s="286">
        <f t="shared" si="1"/>
        <v>2018</v>
      </c>
      <c r="B41" s="30"/>
      <c r="C41" s="33">
        <f ca="1">+SUMIFS('Exhibit 3.1'!F:F,'Exhibit 3.1'!B:B,$A41)</f>
        <v>0.22067864931531583</v>
      </c>
      <c r="D41" s="33"/>
      <c r="E41" s="33">
        <f>+SUMIFS('Exhibit 4.1'!L:L,'Exhibit 4.1'!B:B,$A41)</f>
        <v>1.0648057964143225</v>
      </c>
      <c r="F41" s="33"/>
      <c r="G41" s="33">
        <f>SUMIFS('Exhibit 5.2'!S:S,'Exhibit 5.2'!A:A,A41)</f>
        <v>0.82101887976011623</v>
      </c>
      <c r="H41" s="322"/>
      <c r="I41" s="33">
        <f ca="1">C41*E41/G41</f>
        <v>0.28620523928084068</v>
      </c>
      <c r="J41" s="30"/>
      <c r="K41"/>
      <c r="L41"/>
      <c r="M41"/>
    </row>
    <row r="42" spans="1:13" ht="14.25">
      <c r="A42" s="286">
        <f t="shared" si="1"/>
        <v>2019</v>
      </c>
      <c r="B42" s="30"/>
      <c r="C42" s="33">
        <f ca="1">+SUMIFS('Exhibit 3.1'!F:F,'Exhibit 3.1'!B:B,$A42)</f>
        <v>0.25285071668229742</v>
      </c>
      <c r="D42" s="33"/>
      <c r="E42" s="33">
        <f>+SUMIFS('Exhibit 4.1'!L:L,'Exhibit 4.1'!B:B,$A42)</f>
        <v>1.0360161508028909</v>
      </c>
      <c r="F42" s="33"/>
      <c r="G42" s="33">
        <f>SUMIFS('Exhibit 5.2'!S:S,'Exhibit 5.2'!A:A,A42)</f>
        <v>0.90906677367927635</v>
      </c>
      <c r="H42" s="61"/>
      <c r="I42" s="33">
        <f ca="1">C42*E42/G42</f>
        <v>0.28816081921542769</v>
      </c>
      <c r="J42" s="30"/>
      <c r="K42" s="559" t="s">
        <v>260</v>
      </c>
      <c r="L42" s="560"/>
      <c r="M42" s="561"/>
    </row>
    <row r="43" spans="1:13">
      <c r="A43" s="52"/>
      <c r="B43" s="62"/>
      <c r="C43" s="124"/>
      <c r="D43" s="26"/>
      <c r="E43" s="61"/>
      <c r="F43" s="61"/>
      <c r="G43" s="61"/>
      <c r="H43" s="62"/>
      <c r="J43" s="62"/>
      <c r="K43" s="367" t="s">
        <v>383</v>
      </c>
      <c r="L43" s="368" t="s">
        <v>259</v>
      </c>
      <c r="M43" s="369" t="s">
        <v>301</v>
      </c>
    </row>
    <row r="44" spans="1:13">
      <c r="A44" s="52"/>
      <c r="B44" s="62"/>
      <c r="C44" s="257"/>
      <c r="D44" s="26"/>
      <c r="E44" s="61"/>
      <c r="F44" s="61"/>
      <c r="G44" s="61"/>
      <c r="H44" s="62"/>
      <c r="I44" s="61" t="s">
        <v>232</v>
      </c>
      <c r="J44" s="62"/>
      <c r="K44" s="133">
        <f>+'Exhibit 6.1'!A48</f>
        <v>2019</v>
      </c>
      <c r="L44" s="518">
        <v>8.8999999999999999E-3</v>
      </c>
      <c r="M44" s="237">
        <f>'Exhibit 6.2'!$L$45</f>
        <v>0.01</v>
      </c>
    </row>
    <row r="45" spans="1:13">
      <c r="A45" s="34">
        <f>A42+1</f>
        <v>2020</v>
      </c>
      <c r="B45" s="62"/>
      <c r="C45" s="124"/>
      <c r="D45" s="26"/>
      <c r="E45" s="61"/>
      <c r="F45" s="61"/>
      <c r="G45" s="61"/>
      <c r="H45" s="62"/>
      <c r="I45" s="30">
        <f ca="1">AVERAGE(I41*(1+L44)*(1+M44)*(1+L45)*(1+M45),I42*(1+L45)*(1+M45))</f>
        <v>0.27288904913339501</v>
      </c>
      <c r="J45" s="62"/>
      <c r="K45" s="133">
        <f>+'Exhibit 6.1'!A49</f>
        <v>2020</v>
      </c>
      <c r="L45" s="370">
        <v>-6.8000000000000005E-2</v>
      </c>
      <c r="M45" s="371">
        <f>+'Exhibit 6.2'!$L$45</f>
        <v>0.01</v>
      </c>
    </row>
    <row r="46" spans="1:13">
      <c r="A46" s="34">
        <f>A45+1</f>
        <v>2021</v>
      </c>
      <c r="B46" s="62"/>
      <c r="C46" s="124"/>
      <c r="D46" s="26"/>
      <c r="E46" s="61"/>
      <c r="F46" s="61"/>
      <c r="G46" s="61"/>
      <c r="H46" s="62"/>
      <c r="I46" s="30">
        <f ca="1">I45*(1+L46)*(1+M46)</f>
        <v>0.27699602932285255</v>
      </c>
      <c r="J46" s="62"/>
      <c r="K46" s="133">
        <f>+'Exhibit 6.1'!A50</f>
        <v>2021</v>
      </c>
      <c r="L46" s="370">
        <v>5.0000000000000001E-3</v>
      </c>
      <c r="M46" s="371">
        <f>+'Exhibit 6.2'!$L$45</f>
        <v>0.01</v>
      </c>
    </row>
    <row r="47" spans="1:13">
      <c r="A47" s="58">
        <v>44501</v>
      </c>
      <c r="B47" s="289"/>
      <c r="C47" s="39"/>
      <c r="D47" s="41"/>
      <c r="E47" s="115"/>
      <c r="F47" s="115"/>
      <c r="G47" s="115"/>
      <c r="H47" s="289"/>
      <c r="I47" s="30">
        <f ca="1">I46*((1+L47)^(4/12))*((1+M47)^(4/12))</f>
        <v>0.2779162886722959</v>
      </c>
      <c r="J47" s="62"/>
      <c r="K47" s="372">
        <f>+'Exhibit 6.1'!A51</f>
        <v>2022</v>
      </c>
      <c r="L47" s="489">
        <v>0</v>
      </c>
      <c r="M47" s="373">
        <f>+'Exhibit 6.2'!$L$45</f>
        <v>0.01</v>
      </c>
    </row>
    <row r="48" spans="1:13">
      <c r="A48" s="61"/>
      <c r="B48" s="62"/>
      <c r="C48" s="170"/>
      <c r="D48" s="26"/>
      <c r="E48" s="61"/>
      <c r="F48" s="61"/>
      <c r="G48" s="61"/>
      <c r="H48" s="62"/>
      <c r="I48" s="62"/>
      <c r="J48" s="62"/>
      <c r="K48" s="112"/>
      <c r="L48" s="112"/>
      <c r="M48" s="112"/>
    </row>
    <row r="49" spans="1:10">
      <c r="A49" s="31" t="s">
        <v>22</v>
      </c>
      <c r="B49" s="534" t="s">
        <v>233</v>
      </c>
      <c r="C49" s="534"/>
      <c r="D49" s="534"/>
      <c r="E49" s="534"/>
      <c r="F49" s="534"/>
      <c r="G49" s="534"/>
      <c r="H49" s="534"/>
      <c r="I49" s="534"/>
      <c r="J49" s="62"/>
    </row>
    <row r="50" spans="1:10">
      <c r="A50" s="31" t="s">
        <v>28</v>
      </c>
      <c r="B50" s="534" t="s">
        <v>234</v>
      </c>
      <c r="C50" s="534"/>
      <c r="D50" s="534"/>
      <c r="E50" s="534"/>
      <c r="F50" s="534"/>
      <c r="G50" s="534"/>
      <c r="H50" s="534"/>
      <c r="I50" s="534"/>
      <c r="J50" s="62"/>
    </row>
    <row r="51" spans="1:10">
      <c r="A51" s="31" t="s">
        <v>38</v>
      </c>
      <c r="B51" s="534" t="s">
        <v>235</v>
      </c>
      <c r="C51" s="534"/>
      <c r="D51" s="534"/>
      <c r="E51" s="534"/>
      <c r="F51" s="534"/>
      <c r="G51" s="534"/>
      <c r="H51" s="534"/>
      <c r="I51" s="534"/>
      <c r="J51" s="10"/>
    </row>
    <row r="52" spans="1:10" ht="52.5" customHeight="1">
      <c r="A52" s="31" t="s">
        <v>57</v>
      </c>
      <c r="B52" s="534" t="s">
        <v>540</v>
      </c>
      <c r="C52" s="534"/>
      <c r="D52" s="534"/>
      <c r="E52" s="534"/>
      <c r="F52" s="534"/>
      <c r="G52" s="534"/>
      <c r="H52" s="534"/>
      <c r="I52" s="534"/>
      <c r="J52" s="10"/>
    </row>
  </sheetData>
  <mergeCells count="5">
    <mergeCell ref="B52:I52"/>
    <mergeCell ref="B49:I49"/>
    <mergeCell ref="K42:M42"/>
    <mergeCell ref="B50:I50"/>
    <mergeCell ref="B51:I51"/>
  </mergeCells>
  <printOptions horizontalCentered="1"/>
  <pageMargins left="0.5" right="0.5" top="0.75" bottom="0.75" header="0.33" footer="0.33"/>
  <pageSetup scale="86" orientation="portrait" blackAndWhite="1" horizontalDpi="1200" verticalDpi="1200" r:id="rId1"/>
  <headerFooter scaleWithDoc="0">
    <oddHeader>&amp;R&amp;"Arial,Regular"&amp;10Exhibit 7.1</oddHeader>
  </headerFooter>
  <ignoredErrors>
    <ignoredError sqref="C5:I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31"/>
  <sheetViews>
    <sheetView zoomScaleNormal="100" workbookViewId="0"/>
  </sheetViews>
  <sheetFormatPr defaultColWidth="9.1328125" defaultRowHeight="12.75"/>
  <cols>
    <col min="1" max="1" width="13.1328125" style="110" customWidth="1"/>
    <col min="2" max="19" width="7.73046875" style="110" customWidth="1"/>
    <col min="20" max="20" width="13.1328125" style="112" bestFit="1" customWidth="1"/>
    <col min="21" max="16384" width="9.1328125" style="110"/>
  </cols>
  <sheetData>
    <row r="1" spans="1:20" ht="15" customHeight="1">
      <c r="A1" s="274" t="s">
        <v>23</v>
      </c>
      <c r="B1" s="274"/>
      <c r="C1" s="274"/>
      <c r="D1" s="274"/>
      <c r="E1" s="274"/>
      <c r="F1" s="274"/>
      <c r="G1" s="274"/>
      <c r="H1" s="274"/>
      <c r="I1" s="274"/>
      <c r="J1" s="274"/>
      <c r="K1" s="274"/>
      <c r="L1" s="274"/>
      <c r="M1" s="274"/>
      <c r="N1" s="274"/>
      <c r="O1" s="274"/>
      <c r="P1" s="274"/>
      <c r="Q1" s="274"/>
      <c r="R1" s="274"/>
      <c r="S1" s="274"/>
      <c r="T1" s="196"/>
    </row>
    <row r="2" spans="1:20" ht="13.15">
      <c r="A2" s="120"/>
      <c r="B2" s="120"/>
      <c r="C2" s="120"/>
      <c r="D2" s="120"/>
      <c r="E2" s="120"/>
      <c r="F2" s="120"/>
      <c r="G2" s="120"/>
      <c r="H2" s="120"/>
      <c r="I2" s="120"/>
      <c r="J2" s="120"/>
      <c r="K2" s="120"/>
      <c r="L2" s="120"/>
      <c r="M2" s="120"/>
      <c r="N2" s="120"/>
      <c r="O2" s="120"/>
      <c r="P2" s="120"/>
      <c r="Q2" s="168"/>
      <c r="R2" s="136"/>
      <c r="S2" s="320"/>
    </row>
    <row r="3" spans="1:20" ht="14.25">
      <c r="A3" s="122"/>
      <c r="B3" s="276" t="s">
        <v>18</v>
      </c>
      <c r="C3" s="276"/>
      <c r="D3" s="276"/>
      <c r="E3" s="276"/>
      <c r="F3" s="276"/>
      <c r="G3" s="276"/>
      <c r="H3" s="276"/>
      <c r="I3" s="276"/>
      <c r="J3" s="276"/>
      <c r="K3" s="276"/>
      <c r="L3" s="276"/>
      <c r="M3" s="276"/>
      <c r="N3" s="276"/>
      <c r="O3" s="276"/>
      <c r="P3" s="276"/>
      <c r="Q3" s="276"/>
      <c r="R3" s="276"/>
      <c r="S3" s="276"/>
      <c r="T3" s="238"/>
    </row>
    <row r="4" spans="1:20">
      <c r="A4" s="11" t="s">
        <v>19</v>
      </c>
      <c r="B4" s="11" t="s">
        <v>486</v>
      </c>
      <c r="C4" s="11" t="s">
        <v>487</v>
      </c>
      <c r="D4" s="11" t="s">
        <v>488</v>
      </c>
      <c r="E4" s="11" t="s">
        <v>489</v>
      </c>
      <c r="F4" s="11" t="s">
        <v>490</v>
      </c>
      <c r="G4" s="11" t="s">
        <v>491</v>
      </c>
      <c r="H4" s="11" t="s">
        <v>492</v>
      </c>
      <c r="I4" s="11" t="s">
        <v>493</v>
      </c>
      <c r="J4" s="11" t="s">
        <v>494</v>
      </c>
      <c r="K4" s="11" t="s">
        <v>495</v>
      </c>
      <c r="L4" s="11" t="s">
        <v>496</v>
      </c>
      <c r="M4" s="11" t="s">
        <v>497</v>
      </c>
      <c r="N4" s="11" t="s">
        <v>498</v>
      </c>
      <c r="O4" s="11" t="s">
        <v>499</v>
      </c>
      <c r="P4" s="11" t="s">
        <v>500</v>
      </c>
      <c r="Q4" s="11" t="s">
        <v>501</v>
      </c>
      <c r="R4" s="11" t="s">
        <v>502</v>
      </c>
      <c r="S4" s="11" t="s">
        <v>503</v>
      </c>
      <c r="T4" s="11" t="s">
        <v>507</v>
      </c>
    </row>
    <row r="5" spans="1:20">
      <c r="A5" s="12">
        <f t="shared" ref="A5:A23" si="0">+A6-1</f>
        <v>1983</v>
      </c>
      <c r="B5" s="415" t="s">
        <v>34</v>
      </c>
      <c r="C5" s="415" t="s">
        <v>34</v>
      </c>
      <c r="D5" s="415" t="s">
        <v>34</v>
      </c>
      <c r="E5" s="415" t="s">
        <v>34</v>
      </c>
      <c r="F5" s="415" t="s">
        <v>34</v>
      </c>
      <c r="G5" s="415">
        <v>1.002</v>
      </c>
      <c r="H5" s="415">
        <v>1</v>
      </c>
      <c r="I5" s="415">
        <v>1.0009999999999999</v>
      </c>
      <c r="J5" s="415">
        <v>1</v>
      </c>
      <c r="K5" s="415">
        <v>1</v>
      </c>
      <c r="L5" s="415">
        <v>1.0009999999999999</v>
      </c>
      <c r="M5" s="415">
        <v>1.0009999999999999</v>
      </c>
      <c r="N5" s="415">
        <v>1.0009999999999999</v>
      </c>
      <c r="O5" s="415">
        <v>1.0009999999999999</v>
      </c>
      <c r="P5" s="415">
        <v>1</v>
      </c>
      <c r="Q5" s="415">
        <v>1.0009999999999999</v>
      </c>
      <c r="R5" s="415">
        <v>1.0009999999999999</v>
      </c>
      <c r="S5" s="415">
        <v>1</v>
      </c>
      <c r="T5" s="21"/>
    </row>
    <row r="6" spans="1:20">
      <c r="A6" s="12">
        <f t="shared" si="0"/>
        <v>1984</v>
      </c>
      <c r="B6" s="415" t="s">
        <v>34</v>
      </c>
      <c r="C6" s="415" t="s">
        <v>34</v>
      </c>
      <c r="D6" s="415" t="s">
        <v>34</v>
      </c>
      <c r="E6" s="415" t="s">
        <v>34</v>
      </c>
      <c r="F6" s="415">
        <v>1</v>
      </c>
      <c r="G6" s="415">
        <v>1.0009999999999999</v>
      </c>
      <c r="H6" s="415">
        <v>1</v>
      </c>
      <c r="I6" s="415">
        <v>1</v>
      </c>
      <c r="J6" s="415">
        <v>1.0009999999999999</v>
      </c>
      <c r="K6" s="415">
        <v>1.0009999999999999</v>
      </c>
      <c r="L6" s="415">
        <v>1</v>
      </c>
      <c r="M6" s="415">
        <v>1.0009999999999999</v>
      </c>
      <c r="N6" s="415">
        <v>1.0009999999999999</v>
      </c>
      <c r="O6" s="415">
        <v>0.999</v>
      </c>
      <c r="P6" s="415">
        <v>1</v>
      </c>
      <c r="Q6" s="415">
        <v>1</v>
      </c>
      <c r="R6" s="415">
        <v>1.0009999999999999</v>
      </c>
      <c r="S6" s="415">
        <v>1.0009999999999999</v>
      </c>
      <c r="T6" s="21"/>
    </row>
    <row r="7" spans="1:20">
      <c r="A7" s="12">
        <f t="shared" si="0"/>
        <v>1985</v>
      </c>
      <c r="B7" s="415" t="s">
        <v>34</v>
      </c>
      <c r="C7" s="415" t="s">
        <v>34</v>
      </c>
      <c r="D7" s="415" t="s">
        <v>34</v>
      </c>
      <c r="E7" s="415">
        <v>1</v>
      </c>
      <c r="F7" s="415">
        <v>1.0009999999999999</v>
      </c>
      <c r="G7" s="415">
        <v>1</v>
      </c>
      <c r="H7" s="415">
        <v>1</v>
      </c>
      <c r="I7" s="415">
        <v>1</v>
      </c>
      <c r="J7" s="415">
        <v>1.0009999999999999</v>
      </c>
      <c r="K7" s="415">
        <v>1.0009999999999999</v>
      </c>
      <c r="L7" s="415">
        <v>1.0009999999999999</v>
      </c>
      <c r="M7" s="415">
        <v>1.0009999999999999</v>
      </c>
      <c r="N7" s="415">
        <v>1</v>
      </c>
      <c r="O7" s="415">
        <v>1</v>
      </c>
      <c r="P7" s="415">
        <v>1</v>
      </c>
      <c r="Q7" s="415">
        <v>1</v>
      </c>
      <c r="R7" s="415">
        <v>1</v>
      </c>
      <c r="S7" s="415">
        <v>1</v>
      </c>
      <c r="T7" s="21"/>
    </row>
    <row r="8" spans="1:20">
      <c r="A8" s="12">
        <f t="shared" si="0"/>
        <v>1986</v>
      </c>
      <c r="B8" s="415" t="s">
        <v>34</v>
      </c>
      <c r="C8" s="415" t="s">
        <v>34</v>
      </c>
      <c r="D8" s="415">
        <v>1.0009999999999999</v>
      </c>
      <c r="E8" s="415">
        <v>0.999</v>
      </c>
      <c r="F8" s="415">
        <v>1</v>
      </c>
      <c r="G8" s="415">
        <v>1</v>
      </c>
      <c r="H8" s="415">
        <v>1.0009999999999999</v>
      </c>
      <c r="I8" s="415">
        <v>1</v>
      </c>
      <c r="J8" s="415">
        <v>1.002</v>
      </c>
      <c r="K8" s="415">
        <v>1.002</v>
      </c>
      <c r="L8" s="415">
        <v>1.0009999999999999</v>
      </c>
      <c r="M8" s="415">
        <v>1</v>
      </c>
      <c r="N8" s="415">
        <v>1</v>
      </c>
      <c r="O8" s="415">
        <v>1</v>
      </c>
      <c r="P8" s="415">
        <v>1</v>
      </c>
      <c r="Q8" s="415">
        <v>1</v>
      </c>
      <c r="R8" s="415">
        <v>1.0009999999999999</v>
      </c>
      <c r="S8" s="415" t="s">
        <v>34</v>
      </c>
      <c r="T8" s="21"/>
    </row>
    <row r="9" spans="1:20">
      <c r="A9" s="12">
        <f t="shared" si="0"/>
        <v>1987</v>
      </c>
      <c r="B9" s="415" t="s">
        <v>34</v>
      </c>
      <c r="C9" s="415">
        <v>1.002</v>
      </c>
      <c r="D9" s="415">
        <v>1</v>
      </c>
      <c r="E9" s="415">
        <v>0.999</v>
      </c>
      <c r="F9" s="415">
        <v>1</v>
      </c>
      <c r="G9" s="415">
        <v>1</v>
      </c>
      <c r="H9" s="415">
        <v>1</v>
      </c>
      <c r="I9" s="415">
        <v>1.002</v>
      </c>
      <c r="J9" s="415">
        <v>1.0009999999999999</v>
      </c>
      <c r="K9" s="415">
        <v>1</v>
      </c>
      <c r="L9" s="415">
        <v>1</v>
      </c>
      <c r="M9" s="415">
        <v>1.0009999999999999</v>
      </c>
      <c r="N9" s="415">
        <v>1</v>
      </c>
      <c r="O9" s="415">
        <v>1.0009999999999999</v>
      </c>
      <c r="P9" s="415">
        <v>1</v>
      </c>
      <c r="Q9" s="415">
        <v>1.0009999999999999</v>
      </c>
      <c r="R9" s="415" t="s">
        <v>34</v>
      </c>
      <c r="S9" s="415" t="s">
        <v>34</v>
      </c>
      <c r="T9" s="21"/>
    </row>
    <row r="10" spans="1:20">
      <c r="A10" s="12">
        <f t="shared" si="0"/>
        <v>1988</v>
      </c>
      <c r="B10" s="415">
        <v>1.0009999999999999</v>
      </c>
      <c r="C10" s="415">
        <v>1.0009999999999999</v>
      </c>
      <c r="D10" s="415">
        <v>1</v>
      </c>
      <c r="E10" s="415">
        <v>1.0009999999999999</v>
      </c>
      <c r="F10" s="415">
        <v>1</v>
      </c>
      <c r="G10" s="415">
        <v>1.002</v>
      </c>
      <c r="H10" s="415">
        <v>1.002</v>
      </c>
      <c r="I10" s="415">
        <v>1.0009999999999999</v>
      </c>
      <c r="J10" s="415">
        <v>1</v>
      </c>
      <c r="K10" s="415">
        <v>1</v>
      </c>
      <c r="L10" s="415">
        <v>1</v>
      </c>
      <c r="M10" s="415">
        <v>1.0009999999999999</v>
      </c>
      <c r="N10" s="415">
        <v>1</v>
      </c>
      <c r="O10" s="415">
        <v>1</v>
      </c>
      <c r="P10" s="415">
        <v>1.0009999999999999</v>
      </c>
      <c r="Q10" s="415" t="s">
        <v>34</v>
      </c>
      <c r="R10" s="415" t="s">
        <v>34</v>
      </c>
      <c r="S10" s="415" t="s">
        <v>34</v>
      </c>
      <c r="T10" s="21"/>
    </row>
    <row r="11" spans="1:20">
      <c r="A11" s="12">
        <f t="shared" si="0"/>
        <v>1989</v>
      </c>
      <c r="B11" s="415">
        <v>1.0009999999999999</v>
      </c>
      <c r="C11" s="415">
        <v>1</v>
      </c>
      <c r="D11" s="415">
        <v>1</v>
      </c>
      <c r="E11" s="415">
        <v>1.0009999999999999</v>
      </c>
      <c r="F11" s="415">
        <v>1.0009999999999999</v>
      </c>
      <c r="G11" s="415">
        <v>1.0009999999999999</v>
      </c>
      <c r="H11" s="415">
        <v>1</v>
      </c>
      <c r="I11" s="415">
        <v>1</v>
      </c>
      <c r="J11" s="415">
        <v>1</v>
      </c>
      <c r="K11" s="415">
        <v>1.0009999999999999</v>
      </c>
      <c r="L11" s="415">
        <v>1.0009999999999999</v>
      </c>
      <c r="M11" s="415">
        <v>1</v>
      </c>
      <c r="N11" s="415">
        <v>1.0009999999999999</v>
      </c>
      <c r="O11" s="415">
        <v>1</v>
      </c>
      <c r="P11" s="415" t="s">
        <v>34</v>
      </c>
      <c r="Q11" s="415" t="s">
        <v>34</v>
      </c>
      <c r="R11" s="415" t="s">
        <v>34</v>
      </c>
      <c r="S11" s="415" t="s">
        <v>34</v>
      </c>
      <c r="T11" s="21"/>
    </row>
    <row r="12" spans="1:20">
      <c r="A12" s="12">
        <f t="shared" si="0"/>
        <v>1990</v>
      </c>
      <c r="B12" s="415">
        <v>1</v>
      </c>
      <c r="C12" s="415">
        <v>1.0009999999999999</v>
      </c>
      <c r="D12" s="415">
        <v>1</v>
      </c>
      <c r="E12" s="415">
        <v>1</v>
      </c>
      <c r="F12" s="415">
        <v>1.0009999999999999</v>
      </c>
      <c r="G12" s="415">
        <v>1</v>
      </c>
      <c r="H12" s="415">
        <v>1</v>
      </c>
      <c r="I12" s="415">
        <v>1</v>
      </c>
      <c r="J12" s="415">
        <v>1</v>
      </c>
      <c r="K12" s="415">
        <v>1</v>
      </c>
      <c r="L12" s="415">
        <v>1.0009999999999999</v>
      </c>
      <c r="M12" s="415">
        <v>1</v>
      </c>
      <c r="N12" s="415">
        <v>1</v>
      </c>
      <c r="O12" s="415" t="s">
        <v>34</v>
      </c>
      <c r="P12" s="415" t="s">
        <v>34</v>
      </c>
      <c r="Q12" s="415" t="s">
        <v>34</v>
      </c>
      <c r="R12" s="415" t="s">
        <v>34</v>
      </c>
      <c r="S12" s="415" t="s">
        <v>34</v>
      </c>
    </row>
    <row r="13" spans="1:20" ht="12.75" customHeight="1">
      <c r="A13" s="12">
        <f t="shared" si="0"/>
        <v>1991</v>
      </c>
      <c r="B13" s="415">
        <v>1.0009999999999999</v>
      </c>
      <c r="C13" s="415">
        <v>1.0009999999999999</v>
      </c>
      <c r="D13" s="415">
        <v>1</v>
      </c>
      <c r="E13" s="415">
        <v>1</v>
      </c>
      <c r="F13" s="415">
        <v>1</v>
      </c>
      <c r="G13" s="415">
        <v>1.0009999999999999</v>
      </c>
      <c r="H13" s="415">
        <v>1</v>
      </c>
      <c r="I13" s="415">
        <v>1</v>
      </c>
      <c r="J13" s="415">
        <v>1</v>
      </c>
      <c r="K13" s="415">
        <v>1</v>
      </c>
      <c r="L13" s="415">
        <v>1</v>
      </c>
      <c r="M13" s="415">
        <v>1.0009999999999999</v>
      </c>
      <c r="N13" s="415" t="s">
        <v>34</v>
      </c>
      <c r="O13" s="415" t="s">
        <v>34</v>
      </c>
      <c r="P13" s="415" t="s">
        <v>34</v>
      </c>
      <c r="Q13" s="415" t="s">
        <v>34</v>
      </c>
      <c r="R13" s="415" t="s">
        <v>34</v>
      </c>
      <c r="S13" s="415" t="s">
        <v>34</v>
      </c>
    </row>
    <row r="14" spans="1:20" ht="12.75" customHeight="1">
      <c r="A14" s="12">
        <f t="shared" si="0"/>
        <v>1992</v>
      </c>
      <c r="B14" s="415">
        <v>1</v>
      </c>
      <c r="C14" s="415">
        <v>1.0009999999999999</v>
      </c>
      <c r="D14" s="415">
        <v>1.0009999999999999</v>
      </c>
      <c r="E14" s="415">
        <v>1.0009999999999999</v>
      </c>
      <c r="F14" s="415">
        <v>1.0009999999999999</v>
      </c>
      <c r="G14" s="415">
        <v>1</v>
      </c>
      <c r="H14" s="415">
        <v>1</v>
      </c>
      <c r="I14" s="415">
        <v>1</v>
      </c>
      <c r="J14" s="415">
        <v>1</v>
      </c>
      <c r="K14" s="415">
        <v>1</v>
      </c>
      <c r="L14" s="415">
        <v>1.0009999999999999</v>
      </c>
      <c r="M14" s="415" t="s">
        <v>34</v>
      </c>
      <c r="N14" s="415" t="s">
        <v>34</v>
      </c>
      <c r="O14" s="415" t="s">
        <v>34</v>
      </c>
      <c r="P14" s="415" t="s">
        <v>34</v>
      </c>
      <c r="Q14" s="415" t="s">
        <v>34</v>
      </c>
      <c r="R14" s="415" t="s">
        <v>34</v>
      </c>
      <c r="S14" s="415" t="s">
        <v>34</v>
      </c>
    </row>
    <row r="15" spans="1:20" ht="12.75" customHeight="1">
      <c r="A15" s="12">
        <f t="shared" si="0"/>
        <v>1993</v>
      </c>
      <c r="B15" s="415">
        <v>1</v>
      </c>
      <c r="C15" s="415">
        <v>1.0009999999999999</v>
      </c>
      <c r="D15" s="415">
        <v>1.0009999999999999</v>
      </c>
      <c r="E15" s="415">
        <v>1.0009999999999999</v>
      </c>
      <c r="F15" s="415">
        <v>1.0009999999999999</v>
      </c>
      <c r="G15" s="415">
        <v>1</v>
      </c>
      <c r="H15" s="415">
        <v>1</v>
      </c>
      <c r="I15" s="415">
        <v>1</v>
      </c>
      <c r="J15" s="415">
        <v>1</v>
      </c>
      <c r="K15" s="415">
        <v>1</v>
      </c>
      <c r="L15" s="415" t="s">
        <v>34</v>
      </c>
      <c r="M15" s="415" t="s">
        <v>34</v>
      </c>
      <c r="N15" s="415" t="s">
        <v>34</v>
      </c>
      <c r="O15" s="415" t="s">
        <v>34</v>
      </c>
      <c r="P15" s="415" t="s">
        <v>34</v>
      </c>
      <c r="Q15" s="415" t="s">
        <v>34</v>
      </c>
      <c r="R15" s="415" t="s">
        <v>34</v>
      </c>
      <c r="S15" s="415" t="s">
        <v>34</v>
      </c>
    </row>
    <row r="16" spans="1:20" ht="12.75" customHeight="1">
      <c r="A16" s="12">
        <f t="shared" si="0"/>
        <v>1994</v>
      </c>
      <c r="B16" s="415">
        <v>1.0009999999999999</v>
      </c>
      <c r="C16" s="415">
        <v>1.002</v>
      </c>
      <c r="D16" s="415">
        <v>1.0009999999999999</v>
      </c>
      <c r="E16" s="415">
        <v>1.0009999999999999</v>
      </c>
      <c r="F16" s="415">
        <v>1.0009999999999999</v>
      </c>
      <c r="G16" s="415">
        <v>1.0009999999999999</v>
      </c>
      <c r="H16" s="415">
        <v>1</v>
      </c>
      <c r="I16" s="415">
        <v>1.0009999999999999</v>
      </c>
      <c r="J16" s="415">
        <v>1.002</v>
      </c>
      <c r="K16" s="415" t="s">
        <v>34</v>
      </c>
      <c r="L16" s="415" t="s">
        <v>34</v>
      </c>
      <c r="M16" s="415" t="s">
        <v>34</v>
      </c>
      <c r="N16" s="415" t="s">
        <v>34</v>
      </c>
      <c r="O16" s="415" t="s">
        <v>34</v>
      </c>
      <c r="P16" s="415" t="s">
        <v>34</v>
      </c>
      <c r="Q16" s="415" t="s">
        <v>34</v>
      </c>
      <c r="R16" s="415" t="s">
        <v>34</v>
      </c>
      <c r="S16" s="415" t="s">
        <v>34</v>
      </c>
    </row>
    <row r="17" spans="1:20" ht="12.75" customHeight="1">
      <c r="A17" s="12">
        <f t="shared" si="0"/>
        <v>1995</v>
      </c>
      <c r="B17" s="415">
        <v>1.002</v>
      </c>
      <c r="C17" s="415">
        <v>0.999</v>
      </c>
      <c r="D17" s="415">
        <v>0.999</v>
      </c>
      <c r="E17" s="415">
        <v>1.0009999999999999</v>
      </c>
      <c r="F17" s="415">
        <v>1</v>
      </c>
      <c r="G17" s="415">
        <v>1.0009999999999999</v>
      </c>
      <c r="H17" s="415">
        <v>1</v>
      </c>
      <c r="I17" s="415">
        <v>1.0009999999999999</v>
      </c>
      <c r="J17" s="415" t="s">
        <v>34</v>
      </c>
      <c r="K17" s="415" t="s">
        <v>34</v>
      </c>
      <c r="L17" s="415" t="s">
        <v>34</v>
      </c>
      <c r="M17" s="415" t="s">
        <v>34</v>
      </c>
      <c r="N17" s="415" t="s">
        <v>34</v>
      </c>
      <c r="O17" s="415" t="s">
        <v>34</v>
      </c>
      <c r="P17" s="415" t="s">
        <v>34</v>
      </c>
      <c r="Q17" s="415" t="s">
        <v>34</v>
      </c>
      <c r="R17" s="415" t="s">
        <v>34</v>
      </c>
      <c r="S17" s="415" t="s">
        <v>34</v>
      </c>
    </row>
    <row r="18" spans="1:20" ht="12.75" customHeight="1">
      <c r="A18" s="12">
        <f t="shared" si="0"/>
        <v>1996</v>
      </c>
      <c r="B18" s="415">
        <v>1.002</v>
      </c>
      <c r="C18" s="415">
        <v>1.0009999999999999</v>
      </c>
      <c r="D18" s="415">
        <v>1</v>
      </c>
      <c r="E18" s="415">
        <v>1.0009999999999999</v>
      </c>
      <c r="F18" s="415">
        <v>1.0009999999999999</v>
      </c>
      <c r="G18" s="415">
        <v>1</v>
      </c>
      <c r="H18" s="415">
        <v>1.002</v>
      </c>
      <c r="I18" s="415" t="s">
        <v>34</v>
      </c>
      <c r="J18" s="415" t="s">
        <v>34</v>
      </c>
      <c r="K18" s="415" t="s">
        <v>34</v>
      </c>
      <c r="L18" s="415" t="s">
        <v>34</v>
      </c>
      <c r="M18" s="415" t="s">
        <v>34</v>
      </c>
      <c r="N18" s="415" t="s">
        <v>34</v>
      </c>
      <c r="O18" s="415" t="s">
        <v>34</v>
      </c>
      <c r="P18" s="415" t="s">
        <v>34</v>
      </c>
      <c r="Q18" s="415" t="s">
        <v>34</v>
      </c>
      <c r="R18" s="415" t="s">
        <v>34</v>
      </c>
      <c r="S18" s="415" t="s">
        <v>34</v>
      </c>
    </row>
    <row r="19" spans="1:20" ht="12.75" customHeight="1">
      <c r="A19" s="12">
        <f t="shared" si="0"/>
        <v>1997</v>
      </c>
      <c r="B19" s="415">
        <v>1</v>
      </c>
      <c r="C19" s="415">
        <v>1</v>
      </c>
      <c r="D19" s="415">
        <v>1</v>
      </c>
      <c r="E19" s="415">
        <v>0.999</v>
      </c>
      <c r="F19" s="415">
        <v>1.0009999999999999</v>
      </c>
      <c r="G19" s="415">
        <v>1.0009999999999999</v>
      </c>
      <c r="H19" s="415" t="s">
        <v>34</v>
      </c>
      <c r="I19" s="415" t="s">
        <v>34</v>
      </c>
      <c r="J19" s="415" t="s">
        <v>34</v>
      </c>
      <c r="K19" s="415" t="s">
        <v>34</v>
      </c>
      <c r="L19" s="415" t="s">
        <v>34</v>
      </c>
      <c r="M19" s="415" t="s">
        <v>34</v>
      </c>
      <c r="N19" s="415" t="s">
        <v>34</v>
      </c>
      <c r="O19" s="415" t="s">
        <v>34</v>
      </c>
      <c r="P19" s="415" t="s">
        <v>34</v>
      </c>
      <c r="Q19" s="415" t="s">
        <v>34</v>
      </c>
      <c r="R19" s="415" t="s">
        <v>34</v>
      </c>
      <c r="S19" s="415" t="s">
        <v>34</v>
      </c>
    </row>
    <row r="20" spans="1:20" ht="12.75" customHeight="1">
      <c r="A20" s="12">
        <f t="shared" si="0"/>
        <v>1998</v>
      </c>
      <c r="B20" s="415">
        <v>1.002</v>
      </c>
      <c r="C20" s="415">
        <v>1.002</v>
      </c>
      <c r="D20" s="415">
        <v>1.0009999999999999</v>
      </c>
      <c r="E20" s="415">
        <v>1</v>
      </c>
      <c r="F20" s="415">
        <v>1.0009999999999999</v>
      </c>
      <c r="G20" s="415" t="s">
        <v>34</v>
      </c>
      <c r="H20" s="415" t="s">
        <v>34</v>
      </c>
      <c r="I20" s="415" t="s">
        <v>34</v>
      </c>
      <c r="J20" s="415" t="s">
        <v>34</v>
      </c>
      <c r="K20" s="415" t="s">
        <v>34</v>
      </c>
      <c r="L20" s="415" t="s">
        <v>34</v>
      </c>
      <c r="M20" s="415" t="s">
        <v>34</v>
      </c>
      <c r="N20" s="415" t="s">
        <v>34</v>
      </c>
      <c r="O20" s="415" t="s">
        <v>34</v>
      </c>
      <c r="P20" s="415" t="s">
        <v>34</v>
      </c>
      <c r="Q20" s="415" t="s">
        <v>34</v>
      </c>
      <c r="R20" s="415" t="s">
        <v>34</v>
      </c>
      <c r="S20" s="415" t="s">
        <v>34</v>
      </c>
    </row>
    <row r="21" spans="1:20" ht="12.75" customHeight="1">
      <c r="A21" s="12">
        <f t="shared" si="0"/>
        <v>1999</v>
      </c>
      <c r="B21" s="415">
        <v>1</v>
      </c>
      <c r="C21" s="415">
        <v>1</v>
      </c>
      <c r="D21" s="415">
        <v>1.002</v>
      </c>
      <c r="E21" s="415">
        <v>1.002</v>
      </c>
      <c r="F21" s="415" t="s">
        <v>34</v>
      </c>
      <c r="G21" s="415" t="s">
        <v>34</v>
      </c>
      <c r="H21" s="415" t="s">
        <v>34</v>
      </c>
      <c r="I21" s="415" t="s">
        <v>34</v>
      </c>
      <c r="J21" s="415" t="s">
        <v>34</v>
      </c>
      <c r="K21" s="415" t="s">
        <v>34</v>
      </c>
      <c r="L21" s="415" t="s">
        <v>34</v>
      </c>
      <c r="M21" s="415" t="s">
        <v>34</v>
      </c>
      <c r="N21" s="415" t="s">
        <v>34</v>
      </c>
      <c r="O21" s="415" t="s">
        <v>34</v>
      </c>
      <c r="P21" s="415" t="s">
        <v>34</v>
      </c>
      <c r="Q21" s="415" t="s">
        <v>34</v>
      </c>
      <c r="R21" s="415" t="s">
        <v>34</v>
      </c>
      <c r="S21" s="415" t="s">
        <v>34</v>
      </c>
    </row>
    <row r="22" spans="1:20" ht="12.75" customHeight="1">
      <c r="A22" s="12">
        <f t="shared" si="0"/>
        <v>2000</v>
      </c>
      <c r="B22" s="415">
        <v>1.002</v>
      </c>
      <c r="C22" s="415">
        <v>1.0009999999999999</v>
      </c>
      <c r="D22" s="415">
        <v>1.002</v>
      </c>
      <c r="E22" s="415" t="s">
        <v>34</v>
      </c>
      <c r="F22" s="415" t="s">
        <v>34</v>
      </c>
      <c r="G22" s="415" t="s">
        <v>34</v>
      </c>
      <c r="H22" s="415" t="s">
        <v>34</v>
      </c>
      <c r="I22" s="415" t="s">
        <v>34</v>
      </c>
      <c r="J22" s="415" t="s">
        <v>34</v>
      </c>
      <c r="K22" s="415" t="s">
        <v>34</v>
      </c>
      <c r="L22" s="415" t="s">
        <v>34</v>
      </c>
      <c r="M22" s="415" t="s">
        <v>34</v>
      </c>
      <c r="N22" s="415" t="s">
        <v>34</v>
      </c>
      <c r="O22" s="415" t="s">
        <v>34</v>
      </c>
      <c r="P22" s="415" t="s">
        <v>34</v>
      </c>
      <c r="Q22" s="415" t="s">
        <v>34</v>
      </c>
      <c r="R22" s="415" t="s">
        <v>34</v>
      </c>
      <c r="S22" s="415" t="s">
        <v>34</v>
      </c>
    </row>
    <row r="23" spans="1:20" ht="12.75" customHeight="1">
      <c r="A23" s="12">
        <f t="shared" si="0"/>
        <v>2001</v>
      </c>
      <c r="B23" s="415">
        <v>1.0009999999999999</v>
      </c>
      <c r="C23" s="415">
        <v>1.002</v>
      </c>
      <c r="D23" s="415" t="s">
        <v>34</v>
      </c>
      <c r="E23" s="415" t="s">
        <v>34</v>
      </c>
      <c r="F23" s="415" t="s">
        <v>34</v>
      </c>
      <c r="G23" s="415" t="s">
        <v>34</v>
      </c>
      <c r="H23" s="415" t="s">
        <v>34</v>
      </c>
      <c r="I23" s="415" t="s">
        <v>34</v>
      </c>
      <c r="J23" s="415" t="s">
        <v>34</v>
      </c>
      <c r="K23" s="415" t="s">
        <v>34</v>
      </c>
      <c r="L23" s="415" t="s">
        <v>34</v>
      </c>
      <c r="M23" s="415" t="s">
        <v>34</v>
      </c>
      <c r="N23" s="415" t="s">
        <v>34</v>
      </c>
      <c r="O23" s="415" t="s">
        <v>34</v>
      </c>
      <c r="P23" s="415" t="s">
        <v>34</v>
      </c>
      <c r="Q23" s="415" t="s">
        <v>34</v>
      </c>
      <c r="R23" s="415" t="s">
        <v>34</v>
      </c>
      <c r="S23" s="415" t="s">
        <v>34</v>
      </c>
    </row>
    <row r="24" spans="1:20" ht="12.75" customHeight="1">
      <c r="A24" s="12">
        <f>'Exhibit 2.1.1'!A13</f>
        <v>2002</v>
      </c>
      <c r="B24" s="415">
        <v>1.0029999999999999</v>
      </c>
      <c r="C24" s="415" t="s">
        <v>34</v>
      </c>
      <c r="D24" s="415" t="s">
        <v>34</v>
      </c>
      <c r="E24" s="415" t="s">
        <v>34</v>
      </c>
      <c r="F24" s="415" t="s">
        <v>34</v>
      </c>
      <c r="G24" s="415" t="s">
        <v>34</v>
      </c>
      <c r="H24" s="415" t="s">
        <v>34</v>
      </c>
      <c r="I24" s="415" t="s">
        <v>34</v>
      </c>
      <c r="J24" s="415" t="s">
        <v>34</v>
      </c>
      <c r="K24" s="415" t="s">
        <v>34</v>
      </c>
      <c r="L24" s="415" t="s">
        <v>34</v>
      </c>
      <c r="M24" s="415" t="s">
        <v>34</v>
      </c>
      <c r="N24" s="415" t="s">
        <v>34</v>
      </c>
      <c r="O24" s="415" t="s">
        <v>34</v>
      </c>
      <c r="P24" s="415" t="s">
        <v>34</v>
      </c>
      <c r="Q24" s="415" t="s">
        <v>34</v>
      </c>
      <c r="R24" s="415" t="s">
        <v>34</v>
      </c>
      <c r="S24" s="415" t="s">
        <v>34</v>
      </c>
    </row>
    <row r="25" spans="1:20">
      <c r="A25" s="122"/>
      <c r="B25" s="13"/>
      <c r="C25" s="13"/>
      <c r="D25" s="13"/>
      <c r="E25" s="13"/>
      <c r="F25" s="13"/>
      <c r="G25" s="13"/>
      <c r="H25" s="13"/>
      <c r="I25" s="13"/>
      <c r="J25" s="13"/>
      <c r="K25" s="13"/>
      <c r="L25" s="13"/>
      <c r="M25" s="13"/>
      <c r="N25" s="13"/>
      <c r="O25" s="13"/>
      <c r="P25" s="13"/>
      <c r="R25" s="13"/>
      <c r="S25" s="13"/>
    </row>
    <row r="26" spans="1:20">
      <c r="A26" s="352"/>
      <c r="B26" s="13"/>
      <c r="C26" s="13"/>
      <c r="D26" s="13"/>
      <c r="E26" s="13"/>
      <c r="F26" s="13"/>
      <c r="G26" s="13"/>
      <c r="H26" s="13"/>
      <c r="I26" s="13"/>
      <c r="J26" s="13"/>
      <c r="K26" s="13"/>
      <c r="L26" s="13"/>
      <c r="M26" s="13"/>
      <c r="N26" s="13"/>
      <c r="O26" s="13"/>
      <c r="P26" s="13"/>
      <c r="R26" s="13"/>
      <c r="S26" s="13"/>
    </row>
    <row r="27" spans="1:20">
      <c r="A27" s="14" t="s">
        <v>20</v>
      </c>
      <c r="B27" s="431">
        <f>AVERAGE(B19:B24)</f>
        <v>1.0013333333333332</v>
      </c>
      <c r="C27" s="431">
        <f>AVERAGE(C18:C23)</f>
        <v>1.0009999999999999</v>
      </c>
      <c r="D27" s="431">
        <f>AVERAGE(D17:D22)</f>
        <v>1.0006666666666666</v>
      </c>
      <c r="E27" s="431">
        <f>AVERAGE(E16:E21)</f>
        <v>1.0006666666666666</v>
      </c>
      <c r="F27" s="431">
        <f>AVERAGE(F15:F20)</f>
        <v>1.0008333333333332</v>
      </c>
      <c r="G27" s="431">
        <f>AVERAGE(G14:G19)</f>
        <v>1.0004999999999999</v>
      </c>
      <c r="H27" s="431">
        <f>AVERAGE(H13:H18)</f>
        <v>1.0003333333333333</v>
      </c>
      <c r="I27" s="431">
        <f>AVERAGE(I12:I17)</f>
        <v>1.0003333333333331</v>
      </c>
      <c r="J27" s="431">
        <f>AVERAGE(J11:J16)</f>
        <v>1.0003333333333333</v>
      </c>
      <c r="K27" s="431">
        <f>AVERAGE(K10:K15)</f>
        <v>1.0001666666666666</v>
      </c>
      <c r="L27" s="431">
        <f>AVERAGE(L9:L14)</f>
        <v>1.0004999999999999</v>
      </c>
      <c r="M27" s="431">
        <f>AVERAGE(M8:M13)</f>
        <v>1.0004999999999999</v>
      </c>
      <c r="N27" s="431">
        <f>AVERAGE(N7:N12)</f>
        <v>1.0001666666666666</v>
      </c>
      <c r="O27" s="431">
        <f>AVERAGE(O6:O11)</f>
        <v>1</v>
      </c>
      <c r="P27" s="431">
        <f>AVERAGE(P6:P10)</f>
        <v>1.0002</v>
      </c>
      <c r="Q27" s="431">
        <f>AVERAGE(Q6:Q9)</f>
        <v>1.0002499999999999</v>
      </c>
      <c r="R27" s="431">
        <f>AVERAGE(R6:R8)</f>
        <v>1.0006666666666666</v>
      </c>
      <c r="S27" s="431">
        <f>AVERAGE(S5:S7)</f>
        <v>1.0003333333333333</v>
      </c>
    </row>
    <row r="28" spans="1:20">
      <c r="A28" s="14" t="s">
        <v>24</v>
      </c>
      <c r="B28" s="13">
        <f t="shared" ref="B28:R28" si="1">C28*B27</f>
        <v>1.0128256720640432</v>
      </c>
      <c r="C28" s="13">
        <f t="shared" si="1"/>
        <v>1.0114770360160219</v>
      </c>
      <c r="D28" s="13">
        <f t="shared" si="1"/>
        <v>1.0104665694465755</v>
      </c>
      <c r="E28" s="13">
        <f t="shared" si="1"/>
        <v>1.0097933738639997</v>
      </c>
      <c r="F28" s="13">
        <f t="shared" si="1"/>
        <v>1.0091206267794801</v>
      </c>
      <c r="G28" s="13">
        <f t="shared" si="1"/>
        <v>1.008280393118548</v>
      </c>
      <c r="H28" s="13">
        <f t="shared" si="1"/>
        <v>1.0077765048661149</v>
      </c>
      <c r="I28" s="13">
        <f t="shared" si="1"/>
        <v>1.0074406913023475</v>
      </c>
      <c r="J28" s="13">
        <f t="shared" si="1"/>
        <v>1.0071049896391346</v>
      </c>
      <c r="K28" s="13">
        <f t="shared" si="1"/>
        <v>1.0067693998391882</v>
      </c>
      <c r="L28" s="13">
        <f t="shared" si="1"/>
        <v>1.0066016329003715</v>
      </c>
      <c r="M28" s="13">
        <f t="shared" si="1"/>
        <v>1.0060985836085672</v>
      </c>
      <c r="N28" s="13">
        <f t="shared" si="1"/>
        <v>1.0055957857157094</v>
      </c>
      <c r="O28" s="13">
        <f t="shared" si="1"/>
        <v>1.0054282143466517</v>
      </c>
      <c r="P28" s="13">
        <f t="shared" si="1"/>
        <v>1.0054282143466517</v>
      </c>
      <c r="Q28" s="13">
        <f t="shared" si="1"/>
        <v>1.0052271689128691</v>
      </c>
      <c r="R28" s="13">
        <f t="shared" si="1"/>
        <v>1.0049759249316363</v>
      </c>
      <c r="S28" s="13">
        <f>T28*S27</f>
        <v>1.0043063873400764</v>
      </c>
      <c r="T28" s="415">
        <v>1.0039717300967108</v>
      </c>
    </row>
    <row r="29" spans="1:20">
      <c r="A29" s="122"/>
      <c r="B29" s="13"/>
      <c r="C29" s="13"/>
      <c r="D29" s="13"/>
      <c r="E29" s="13"/>
      <c r="F29" s="13"/>
      <c r="G29" s="13"/>
      <c r="H29" s="13"/>
      <c r="I29" s="13"/>
      <c r="J29" s="13"/>
      <c r="K29" s="13"/>
      <c r="L29" s="13"/>
      <c r="M29" s="13"/>
      <c r="N29" s="13"/>
      <c r="O29" s="13"/>
      <c r="P29" s="13"/>
      <c r="Q29" s="13"/>
      <c r="R29" s="13"/>
      <c r="S29" s="13"/>
    </row>
    <row r="30" spans="1:20" ht="15" customHeight="1">
      <c r="A30" s="9" t="s">
        <v>25</v>
      </c>
      <c r="B30" s="529" t="s">
        <v>553</v>
      </c>
      <c r="C30" s="529"/>
      <c r="D30" s="529"/>
      <c r="E30" s="529"/>
      <c r="F30" s="529"/>
      <c r="G30" s="529"/>
      <c r="H30" s="529"/>
      <c r="I30" s="529"/>
      <c r="J30" s="529"/>
      <c r="K30" s="529"/>
      <c r="L30" s="529"/>
      <c r="M30" s="529"/>
      <c r="N30" s="529"/>
      <c r="O30" s="529"/>
      <c r="P30" s="529"/>
      <c r="Q30" s="529"/>
      <c r="R30" s="529"/>
      <c r="S30" s="314"/>
    </row>
    <row r="31" spans="1:20" ht="15" customHeight="1">
      <c r="B31" s="530"/>
      <c r="C31" s="530"/>
      <c r="D31" s="530"/>
      <c r="E31" s="530"/>
      <c r="F31" s="530"/>
      <c r="G31" s="530"/>
      <c r="H31" s="530"/>
      <c r="I31" s="530"/>
      <c r="J31" s="530"/>
      <c r="K31" s="530"/>
      <c r="L31" s="530"/>
      <c r="M31" s="530"/>
      <c r="N31" s="530"/>
      <c r="O31" s="530"/>
      <c r="P31" s="530"/>
      <c r="Q31" s="530"/>
      <c r="R31" s="530"/>
      <c r="S31" s="315"/>
    </row>
  </sheetData>
  <mergeCells count="1">
    <mergeCell ref="B30:R31"/>
  </mergeCells>
  <printOptions horizontalCentered="1"/>
  <pageMargins left="0.7" right="0.7" top="0.75" bottom="0.75" header="0.3" footer="0.3"/>
  <pageSetup scale="73" orientation="landscape" blackAndWhite="1"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53"/>
  <sheetViews>
    <sheetView zoomScaleNormal="100" zoomScaleSheetLayoutView="85" workbookViewId="0"/>
  </sheetViews>
  <sheetFormatPr defaultColWidth="9.1328125" defaultRowHeight="12.75"/>
  <cols>
    <col min="1" max="1" width="9.1328125" style="110"/>
    <col min="2" max="2" width="5.86328125" style="110" customWidth="1"/>
    <col min="3" max="3" width="17.73046875" style="110" customWidth="1"/>
    <col min="4" max="4" width="5.86328125" style="110" customWidth="1"/>
    <col min="5" max="5" width="17.73046875" style="110" customWidth="1"/>
    <col min="6" max="6" width="5.86328125" style="110" customWidth="1"/>
    <col min="7" max="7" width="17.73046875" style="110" customWidth="1"/>
    <col min="8" max="8" width="5.86328125" style="110" customWidth="1"/>
    <col min="9" max="9" width="19.3984375" style="110" customWidth="1"/>
    <col min="10" max="10" width="21.59765625" style="110" customWidth="1"/>
    <col min="11" max="11" width="9.1328125" style="110"/>
    <col min="12" max="12" width="21.59765625" style="110" customWidth="1"/>
    <col min="13" max="13" width="21.1328125" style="110" customWidth="1"/>
    <col min="14" max="16384" width="9.1328125" style="110"/>
  </cols>
  <sheetData>
    <row r="1" spans="1:11" ht="13.15">
      <c r="A1" s="310" t="s">
        <v>223</v>
      </c>
      <c r="B1" s="275"/>
      <c r="C1" s="275"/>
      <c r="D1" s="275"/>
      <c r="E1" s="275"/>
      <c r="F1" s="275"/>
      <c r="G1" s="275"/>
      <c r="H1" s="275"/>
      <c r="I1" s="275"/>
      <c r="J1" s="126"/>
    </row>
    <row r="2" spans="1:11" ht="13.15">
      <c r="A2" s="279" t="s">
        <v>236</v>
      </c>
      <c r="B2" s="275"/>
      <c r="C2" s="275"/>
      <c r="D2" s="275"/>
      <c r="E2" s="275"/>
      <c r="F2" s="275"/>
      <c r="G2" s="275"/>
      <c r="H2" s="275"/>
      <c r="I2" s="275"/>
      <c r="J2" s="123"/>
    </row>
    <row r="3" spans="1:11" ht="13.15">
      <c r="A3" s="279" t="s">
        <v>516</v>
      </c>
      <c r="B3" s="275"/>
      <c r="C3" s="275"/>
      <c r="D3" s="275"/>
      <c r="E3" s="275"/>
      <c r="F3" s="275"/>
      <c r="G3" s="275"/>
      <c r="H3" s="275"/>
      <c r="I3" s="275"/>
      <c r="J3" s="123"/>
    </row>
    <row r="4" spans="1:11">
      <c r="A4" s="124"/>
      <c r="B4" s="124"/>
      <c r="C4" s="124"/>
      <c r="D4" s="124"/>
      <c r="E4" s="124"/>
      <c r="F4" s="124"/>
      <c r="G4" s="124"/>
      <c r="H4" s="124"/>
      <c r="I4" s="124"/>
      <c r="J4" s="124"/>
    </row>
    <row r="5" spans="1:11">
      <c r="A5" s="124"/>
      <c r="B5" s="124"/>
      <c r="C5" s="27" t="s">
        <v>45</v>
      </c>
      <c r="D5" s="27"/>
      <c r="E5" s="27" t="s">
        <v>46</v>
      </c>
      <c r="F5" s="27"/>
      <c r="G5" s="27" t="s">
        <v>47</v>
      </c>
      <c r="H5" s="27"/>
      <c r="I5" s="27" t="s">
        <v>48</v>
      </c>
      <c r="J5" s="124"/>
    </row>
    <row r="6" spans="1:11">
      <c r="A6" s="124"/>
      <c r="B6" s="124"/>
      <c r="C6" s="124"/>
      <c r="D6" s="124"/>
      <c r="E6" s="124"/>
      <c r="F6" s="70"/>
      <c r="G6" s="124"/>
      <c r="H6" s="124"/>
      <c r="I6" s="124" t="s">
        <v>237</v>
      </c>
      <c r="J6" s="261"/>
    </row>
    <row r="7" spans="1:11">
      <c r="A7" s="124" t="s">
        <v>54</v>
      </c>
      <c r="B7" s="124"/>
      <c r="C7" s="124" t="s">
        <v>238</v>
      </c>
      <c r="D7" s="62"/>
      <c r="E7" s="61" t="s">
        <v>239</v>
      </c>
      <c r="F7" s="62"/>
      <c r="G7" s="61" t="s">
        <v>228</v>
      </c>
      <c r="H7" s="62"/>
      <c r="I7" s="124" t="s">
        <v>229</v>
      </c>
      <c r="J7" s="261"/>
    </row>
    <row r="8" spans="1:11">
      <c r="A8" s="26" t="s">
        <v>8</v>
      </c>
      <c r="B8" s="26"/>
      <c r="C8" s="26" t="s">
        <v>366</v>
      </c>
      <c r="D8" s="26"/>
      <c r="E8" s="26" t="s">
        <v>369</v>
      </c>
      <c r="F8" s="26"/>
      <c r="G8" s="26" t="s">
        <v>368</v>
      </c>
      <c r="H8" s="26"/>
      <c r="I8" s="26" t="s">
        <v>370</v>
      </c>
      <c r="J8" s="26"/>
    </row>
    <row r="9" spans="1:11">
      <c r="A9" s="124"/>
      <c r="B9" s="124"/>
      <c r="C9" s="70"/>
      <c r="D9" s="124"/>
      <c r="E9" s="70"/>
      <c r="F9" s="124"/>
      <c r="G9" s="70"/>
      <c r="H9" s="124"/>
      <c r="I9" s="124" t="s">
        <v>231</v>
      </c>
      <c r="J9" s="124"/>
    </row>
    <row r="10" spans="1:11">
      <c r="A10" s="170">
        <f>+'Exhibit 7.1'!A10</f>
        <v>1987</v>
      </c>
      <c r="B10" s="30"/>
      <c r="C10" s="33">
        <f>+SUMIFS('Exhibit 3.2'!F:F,'Exhibit 3.2'!A:A,A10)</f>
        <v>0.28397713832726307</v>
      </c>
      <c r="D10" s="33"/>
      <c r="E10" s="32">
        <f>+SUMIFS('Exhibit 4.4'!I:I,'Exhibit 4.4'!A:A,A10)</f>
        <v>0.80797628590409243</v>
      </c>
      <c r="F10" s="33"/>
      <c r="G10" s="33">
        <f>+SUMIFS('Exhibit 5.2'!S:S,'Exhibit 5.2'!A:A,A10)</f>
        <v>1.8068528368793828</v>
      </c>
      <c r="H10" s="61"/>
      <c r="I10" s="33">
        <f>C10*E10/G10</f>
        <v>0.12698698467530564</v>
      </c>
      <c r="J10" s="30"/>
      <c r="K10" s="114"/>
    </row>
    <row r="11" spans="1:11">
      <c r="A11" s="170">
        <f>+'Exhibit 7.1'!A11</f>
        <v>1988</v>
      </c>
      <c r="B11" s="30"/>
      <c r="C11" s="33">
        <f>+SUMIFS('Exhibit 3.2'!F:F,'Exhibit 3.2'!A:A,A11)</f>
        <v>0.27829330416591336</v>
      </c>
      <c r="D11" s="33"/>
      <c r="E11" s="32">
        <f>+SUMIFS('Exhibit 4.4'!I:I,'Exhibit 4.4'!A:A,A11)</f>
        <v>0.77839719258583084</v>
      </c>
      <c r="F11" s="33"/>
      <c r="G11" s="33">
        <f>+SUMIFS('Exhibit 5.2'!S:S,'Exhibit 5.2'!A:A,A11)</f>
        <v>1.5833420742308735</v>
      </c>
      <c r="H11" s="61"/>
      <c r="I11" s="33">
        <f t="shared" ref="I11:I38" si="0">C11*E11/G11</f>
        <v>0.13681359840286481</v>
      </c>
      <c r="J11" s="30"/>
      <c r="K11" s="114"/>
    </row>
    <row r="12" spans="1:11">
      <c r="A12" s="170">
        <f>+'Exhibit 7.1'!A12</f>
        <v>1989</v>
      </c>
      <c r="B12" s="30"/>
      <c r="C12" s="33">
        <f>+SUMIFS('Exhibit 3.2'!F:F,'Exhibit 3.2'!A:A,A12)</f>
        <v>0.2965284622800457</v>
      </c>
      <c r="D12" s="33"/>
      <c r="E12" s="32">
        <f>+SUMIFS('Exhibit 4.4'!I:I,'Exhibit 4.4'!A:A,A12)</f>
        <v>0.75572542969498135</v>
      </c>
      <c r="F12" s="33"/>
      <c r="G12" s="33">
        <f>+SUMIFS('Exhibit 5.2'!S:S,'Exhibit 5.2'!A:A,A12)</f>
        <v>1.5229637431642615</v>
      </c>
      <c r="H12" s="61"/>
      <c r="I12" s="33">
        <f t="shared" si="0"/>
        <v>0.14714342385313739</v>
      </c>
      <c r="J12" s="30"/>
      <c r="K12" s="114"/>
    </row>
    <row r="13" spans="1:11">
      <c r="A13" s="170">
        <f>+'Exhibit 7.1'!A13</f>
        <v>1990</v>
      </c>
      <c r="B13" s="30"/>
      <c r="C13" s="33">
        <f>+SUMIFS('Exhibit 3.2'!F:F,'Exhibit 3.2'!A:A,A13)</f>
        <v>0.33651842837490342</v>
      </c>
      <c r="D13" s="33"/>
      <c r="E13" s="32">
        <f>+SUMIFS('Exhibit 4.4'!I:I,'Exhibit 4.4'!A:A,A13)</f>
        <v>0.61209220419942645</v>
      </c>
      <c r="F13" s="33"/>
      <c r="G13" s="33">
        <f>+SUMIFS('Exhibit 5.2'!S:S,'Exhibit 5.2'!A:A,A13)</f>
        <v>1.415759655254182</v>
      </c>
      <c r="H13" s="61"/>
      <c r="I13" s="33">
        <f t="shared" si="0"/>
        <v>0.14549101312026033</v>
      </c>
      <c r="J13" s="30"/>
      <c r="K13" s="114"/>
    </row>
    <row r="14" spans="1:11">
      <c r="A14" s="170">
        <f>+'Exhibit 7.1'!A14</f>
        <v>1991</v>
      </c>
      <c r="B14" s="30"/>
      <c r="C14" s="33">
        <f>+SUMIFS('Exhibit 3.2'!F:F,'Exhibit 3.2'!A:A,A14)</f>
        <v>0.35338047031654685</v>
      </c>
      <c r="D14" s="33"/>
      <c r="E14" s="32">
        <f>+SUMIFS('Exhibit 4.4'!I:I,'Exhibit 4.4'!A:A,A14)</f>
        <v>0.52347817116238826</v>
      </c>
      <c r="F14" s="33"/>
      <c r="G14" s="33">
        <f>+SUMIFS('Exhibit 5.2'!S:S,'Exhibit 5.2'!A:A,A14)</f>
        <v>1.2814419818117742</v>
      </c>
      <c r="H14" s="61"/>
      <c r="I14" s="33">
        <f t="shared" si="0"/>
        <v>0.14435843756598774</v>
      </c>
      <c r="J14" s="30"/>
      <c r="K14" s="114"/>
    </row>
    <row r="15" spans="1:11">
      <c r="A15" s="170">
        <f>+'Exhibit 7.1'!A15</f>
        <v>1992</v>
      </c>
      <c r="B15" s="30"/>
      <c r="C15" s="33">
        <f>+SUMIFS('Exhibit 3.2'!F:F,'Exhibit 3.2'!A:A,A15)</f>
        <v>0.29326280473763816</v>
      </c>
      <c r="D15" s="33"/>
      <c r="E15" s="32">
        <f>+SUMIFS('Exhibit 4.4'!I:I,'Exhibit 4.4'!A:A,A15)</f>
        <v>0.55207720582485065</v>
      </c>
      <c r="F15" s="33"/>
      <c r="G15" s="33">
        <f>+SUMIFS('Exhibit 5.2'!S:S,'Exhibit 5.2'!A:A,A15)</f>
        <v>1.1652175762669672</v>
      </c>
      <c r="H15" s="61"/>
      <c r="I15" s="33">
        <f t="shared" si="0"/>
        <v>0.13894719158855162</v>
      </c>
      <c r="J15" s="30"/>
      <c r="K15" s="114"/>
    </row>
    <row r="16" spans="1:11">
      <c r="A16" s="170">
        <f>+'Exhibit 7.1'!A16</f>
        <v>1993</v>
      </c>
      <c r="B16" s="30"/>
      <c r="C16" s="33">
        <f>+SUMIFS('Exhibit 3.2'!F:F,'Exhibit 3.2'!A:A,A16)</f>
        <v>0.24190398793846118</v>
      </c>
      <c r="D16" s="33"/>
      <c r="E16" s="32">
        <f>+SUMIFS('Exhibit 4.4'!I:I,'Exhibit 4.4'!A:A,A16)</f>
        <v>0.66099202930649426</v>
      </c>
      <c r="F16" s="33"/>
      <c r="G16" s="33">
        <f>+SUMIFS('Exhibit 5.2'!S:S,'Exhibit 5.2'!A:A,A16)</f>
        <v>1.1271085194582768</v>
      </c>
      <c r="H16" s="61"/>
      <c r="I16" s="33">
        <f t="shared" si="0"/>
        <v>0.14186443019845899</v>
      </c>
      <c r="J16" s="30"/>
      <c r="K16" s="114"/>
    </row>
    <row r="17" spans="1:11">
      <c r="A17" s="170">
        <f>+'Exhibit 7.1'!A17</f>
        <v>1994</v>
      </c>
      <c r="B17" s="30"/>
      <c r="C17" s="33">
        <f>+SUMIFS('Exhibit 3.2'!F:F,'Exhibit 3.2'!A:A,A17)</f>
        <v>0.2775099845601523</v>
      </c>
      <c r="D17" s="33"/>
      <c r="E17" s="32">
        <f>+SUMIFS('Exhibit 4.4'!I:I,'Exhibit 4.4'!A:A,A17)</f>
        <v>0.69253506664939823</v>
      </c>
      <c r="F17" s="33"/>
      <c r="G17" s="33">
        <f>+SUMIFS('Exhibit 5.2'!S:S,'Exhibit 5.2'!A:A,A17)</f>
        <v>1.274517944031857</v>
      </c>
      <c r="H17" s="61"/>
      <c r="I17" s="33">
        <f t="shared" si="0"/>
        <v>0.15079065504976116</v>
      </c>
      <c r="J17" s="30"/>
      <c r="K17" s="114"/>
    </row>
    <row r="18" spans="1:11">
      <c r="A18" s="170">
        <f>+'Exhibit 7.1'!A18</f>
        <v>1995</v>
      </c>
      <c r="B18" s="30"/>
      <c r="C18" s="33">
        <f>+SUMIFS('Exhibit 3.2'!F:F,'Exhibit 3.2'!A:A,A18)</f>
        <v>0.4102857333876031</v>
      </c>
      <c r="D18" s="33"/>
      <c r="E18" s="32">
        <f>+SUMIFS('Exhibit 4.4'!I:I,'Exhibit 4.4'!A:A,A18)</f>
        <v>0.68294313038316679</v>
      </c>
      <c r="F18" s="33"/>
      <c r="G18" s="33">
        <f>+SUMIFS('Exhibit 5.2'!S:S,'Exhibit 5.2'!A:A,A18)</f>
        <v>1.6738356157978509</v>
      </c>
      <c r="H18" s="61"/>
      <c r="I18" s="33">
        <f t="shared" si="0"/>
        <v>0.16740104014199864</v>
      </c>
      <c r="J18" s="30"/>
      <c r="K18" s="114"/>
    </row>
    <row r="19" spans="1:11">
      <c r="A19" s="170">
        <f>+'Exhibit 7.1'!A19</f>
        <v>1996</v>
      </c>
      <c r="B19" s="30"/>
      <c r="C19" s="33">
        <f>+SUMIFS('Exhibit 3.2'!F:F,'Exhibit 3.2'!A:A,A19)</f>
        <v>0.44126131690171422</v>
      </c>
      <c r="D19" s="33"/>
      <c r="E19" s="32">
        <f>+SUMIFS('Exhibit 4.4'!I:I,'Exhibit 4.4'!A:A,A19)</f>
        <v>0.67348736774009577</v>
      </c>
      <c r="F19" s="33"/>
      <c r="G19" s="33">
        <f>+SUMIFS('Exhibit 5.2'!S:S,'Exhibit 5.2'!A:A,A19)</f>
        <v>1.7311821222463704</v>
      </c>
      <c r="H19" s="61"/>
      <c r="I19" s="33">
        <f t="shared" si="0"/>
        <v>0.17166531411498165</v>
      </c>
      <c r="J19" s="30"/>
      <c r="K19" s="114"/>
    </row>
    <row r="20" spans="1:11">
      <c r="A20" s="170">
        <f>+'Exhibit 7.1'!A20</f>
        <v>1997</v>
      </c>
      <c r="B20" s="30"/>
      <c r="C20" s="33">
        <f>+SUMIFS('Exhibit 3.2'!F:F,'Exhibit 3.2'!A:A,A20)</f>
        <v>0.49666560159012557</v>
      </c>
      <c r="D20" s="33"/>
      <c r="E20" s="32">
        <f>+SUMIFS('Exhibit 4.4'!I:I,'Exhibit 4.4'!A:A,A20)</f>
        <v>0.66747078607442101</v>
      </c>
      <c r="F20" s="33"/>
      <c r="G20" s="33">
        <f>+SUMIFS('Exhibit 5.2'!S:S,'Exhibit 5.2'!A:A,A20)</f>
        <v>1.6811280357950653</v>
      </c>
      <c r="H20" s="61"/>
      <c r="I20" s="33">
        <f t="shared" si="0"/>
        <v>0.19719484325457909</v>
      </c>
      <c r="J20" s="30"/>
      <c r="K20" s="114"/>
    </row>
    <row r="21" spans="1:11">
      <c r="A21" s="170">
        <f>+'Exhibit 7.1'!A21</f>
        <v>1998</v>
      </c>
      <c r="B21" s="30"/>
      <c r="C21" s="33">
        <f>+SUMIFS('Exhibit 3.2'!F:F,'Exhibit 3.2'!A:A,A21)</f>
        <v>0.59451633553079863</v>
      </c>
      <c r="D21" s="33"/>
      <c r="E21" s="32">
        <f>+SUMIFS('Exhibit 4.4'!I:I,'Exhibit 4.4'!A:A,A21)</f>
        <v>0.58807584270280133</v>
      </c>
      <c r="F21" s="33"/>
      <c r="G21" s="33">
        <f>+SUMIFS('Exhibit 5.2'!S:S,'Exhibit 5.2'!A:A,A21)</f>
        <v>1.6881657156842962</v>
      </c>
      <c r="H21" s="61"/>
      <c r="I21" s="33">
        <f t="shared" si="0"/>
        <v>0.2071009331427735</v>
      </c>
      <c r="J21" s="30"/>
      <c r="K21" s="114"/>
    </row>
    <row r="22" spans="1:11">
      <c r="A22" s="170">
        <f>+'Exhibit 7.1'!A22</f>
        <v>1999</v>
      </c>
      <c r="B22" s="30"/>
      <c r="C22" s="33">
        <f>+SUMIFS('Exhibit 3.2'!F:F,'Exhibit 3.2'!A:A,A22)</f>
        <v>0.65717906933743853</v>
      </c>
      <c r="D22" s="33"/>
      <c r="E22" s="32">
        <f>+SUMIFS('Exhibit 4.4'!I:I,'Exhibit 4.4'!A:A,A22)</f>
        <v>0.50953155369995362</v>
      </c>
      <c r="F22" s="33"/>
      <c r="G22" s="33">
        <f>+SUMIFS('Exhibit 5.2'!S:S,'Exhibit 5.2'!A:A,A22)</f>
        <v>1.6034516551492426</v>
      </c>
      <c r="H22" s="61"/>
      <c r="I22" s="33">
        <f t="shared" si="0"/>
        <v>0.20883290817235634</v>
      </c>
      <c r="J22" s="30"/>
      <c r="K22" s="114"/>
    </row>
    <row r="23" spans="1:11">
      <c r="A23" s="170">
        <f>+'Exhibit 7.1'!A23</f>
        <v>2000</v>
      </c>
      <c r="B23" s="30"/>
      <c r="C23" s="33">
        <f>+SUMIFS('Exhibit 3.2'!F:F,'Exhibit 3.2'!A:A,A23)</f>
        <v>0.59731812448365651</v>
      </c>
      <c r="D23" s="33"/>
      <c r="E23" s="32">
        <f>+SUMIFS('Exhibit 4.4'!I:I,'Exhibit 4.4'!A:A,A23)</f>
        <v>0.46823767329230526</v>
      </c>
      <c r="F23" s="33"/>
      <c r="G23" s="33">
        <f>+SUMIFS('Exhibit 5.2'!S:S,'Exhibit 5.2'!A:A,A23)</f>
        <v>1.2688373783172531</v>
      </c>
      <c r="H23" s="61"/>
      <c r="I23" s="33">
        <f t="shared" si="0"/>
        <v>0.22042765574456424</v>
      </c>
      <c r="J23" s="30"/>
      <c r="K23" s="114"/>
    </row>
    <row r="24" spans="1:11" s="112" customFormat="1">
      <c r="A24" s="39">
        <f>+'Exhibit 7.1'!A24</f>
        <v>2001</v>
      </c>
      <c r="B24" s="29"/>
      <c r="C24" s="33">
        <f>+SUMIFS('Exhibit 3.2'!F:F,'Exhibit 3.2'!A:A,A24)</f>
        <v>0.53367898276710635</v>
      </c>
      <c r="D24" s="32"/>
      <c r="E24" s="32">
        <f>+SUMIFS('Exhibit 4.4'!I:I,'Exhibit 4.4'!A:A,A24)</f>
        <v>0.42686817133549693</v>
      </c>
      <c r="F24" s="32"/>
      <c r="G24" s="32">
        <f>+SUMIFS('Exhibit 5.2'!S:S,'Exhibit 5.2'!A:A,A24)</f>
        <v>1.0849076360176175</v>
      </c>
      <c r="H24" s="115"/>
      <c r="I24" s="32">
        <f t="shared" si="0"/>
        <v>0.20998153565423289</v>
      </c>
      <c r="J24" s="30"/>
      <c r="K24" s="129"/>
    </row>
    <row r="25" spans="1:11" s="112" customFormat="1">
      <c r="A25" s="39">
        <f>+'Exhibit 7.1'!A25</f>
        <v>2002</v>
      </c>
      <c r="B25" s="29"/>
      <c r="C25" s="33">
        <f>+SUMIFS('Exhibit 3.2'!F:F,'Exhibit 3.2'!A:A,A25)</f>
        <v>0.4161244728659661</v>
      </c>
      <c r="D25" s="32"/>
      <c r="E25" s="32">
        <f>+SUMIFS('Exhibit 4.4'!I:I,'Exhibit 4.4'!A:A,A25)</f>
        <v>0.44332437202506747</v>
      </c>
      <c r="F25" s="32"/>
      <c r="G25" s="32">
        <f>+SUMIFS('Exhibit 5.2'!S:S,'Exhibit 5.2'!A:A,A25)</f>
        <v>0.83603029823117636</v>
      </c>
      <c r="H25" s="115"/>
      <c r="I25" s="32">
        <f t="shared" si="0"/>
        <v>0.22065961126992001</v>
      </c>
      <c r="J25" s="30"/>
      <c r="K25" s="129"/>
    </row>
    <row r="26" spans="1:11" s="112" customFormat="1">
      <c r="A26" s="39">
        <f>+'Exhibit 7.1'!A26</f>
        <v>2003</v>
      </c>
      <c r="B26" s="29"/>
      <c r="C26" s="33">
        <f>+SUMIFS('Exhibit 3.2'!F:F,'Exhibit 3.2'!A:A,A26)</f>
        <v>0.26824311046046617</v>
      </c>
      <c r="D26" s="32"/>
      <c r="E26" s="32">
        <f>+SUMIFS('Exhibit 4.4'!I:I,'Exhibit 4.4'!A:A,A26)</f>
        <v>0.46511013053953948</v>
      </c>
      <c r="F26" s="32"/>
      <c r="G26" s="32">
        <f>+SUMIFS('Exhibit 5.2'!S:S,'Exhibit 5.2'!A:A,A26)</f>
        <v>0.59525405509613394</v>
      </c>
      <c r="H26" s="115"/>
      <c r="I26" s="32">
        <f t="shared" si="0"/>
        <v>0.20959552825297476</v>
      </c>
      <c r="J26" s="30"/>
      <c r="K26" s="129"/>
    </row>
    <row r="27" spans="1:11" s="112" customFormat="1">
      <c r="A27" s="39">
        <f>+'Exhibit 7.1'!A27</f>
        <v>2004</v>
      </c>
      <c r="B27" s="29"/>
      <c r="C27" s="33">
        <f>+SUMIFS('Exhibit 3.2'!F:F,'Exhibit 3.2'!A:A,A27)</f>
        <v>0.18368564425372025</v>
      </c>
      <c r="D27" s="32"/>
      <c r="E27" s="32">
        <f>+SUMIFS('Exhibit 4.4'!I:I,'Exhibit 4.4'!A:A,A27)</f>
        <v>0.70311433188139005</v>
      </c>
      <c r="F27" s="32"/>
      <c r="G27" s="32">
        <f>+SUMIFS('Exhibit 5.2'!S:S,'Exhibit 5.2'!A:A,A27)</f>
        <v>0.53530870627786675</v>
      </c>
      <c r="H27" s="115"/>
      <c r="I27" s="32">
        <f t="shared" si="0"/>
        <v>0.24126640856204812</v>
      </c>
      <c r="J27" s="30"/>
      <c r="K27" s="129"/>
    </row>
    <row r="28" spans="1:11" s="112" customFormat="1">
      <c r="A28" s="39">
        <f>+'Exhibit 7.1'!A28</f>
        <v>2005</v>
      </c>
      <c r="B28" s="29"/>
      <c r="C28" s="32">
        <f>+SUMIFS('Exhibit 3.2'!F:F,'Exhibit 3.2'!A:A,A28)</f>
        <v>0.18096331663434173</v>
      </c>
      <c r="D28" s="32"/>
      <c r="E28" s="32">
        <f>+SUMIFS('Exhibit 4.4'!I:I,'Exhibit 4.4'!A:A,A28)</f>
        <v>0.8166252402803601</v>
      </c>
      <c r="F28" s="32"/>
      <c r="G28" s="32">
        <f>+SUMIFS('Exhibit 5.2'!S:S,'Exhibit 5.2'!A:A,A28)</f>
        <v>0.59250885955063215</v>
      </c>
      <c r="H28" s="115"/>
      <c r="I28" s="32">
        <f>C28*E28/G28</f>
        <v>0.24941266201576839</v>
      </c>
      <c r="J28" s="30"/>
      <c r="K28" s="129"/>
    </row>
    <row r="29" spans="1:11" s="112" customFormat="1">
      <c r="A29" s="39">
        <f>+'Exhibit 7.1'!A29</f>
        <v>2006</v>
      </c>
      <c r="B29" s="29"/>
      <c r="C29" s="32">
        <f>+SUMIFS('Exhibit 3.2'!F:F,'Exhibit 3.2'!A:A,A29)</f>
        <v>0.23510481958860757</v>
      </c>
      <c r="D29" s="32"/>
      <c r="E29" s="32">
        <f>+SUMIFS('Exhibit 4.4'!I:I,'Exhibit 4.4'!A:A,A29)</f>
        <v>0.85798451780682294</v>
      </c>
      <c r="F29" s="32"/>
      <c r="G29" s="32">
        <f>+SUMIFS('Exhibit 5.2'!S:S,'Exhibit 5.2'!A:A,A29)</f>
        <v>0.76196163769647496</v>
      </c>
      <c r="H29" s="115"/>
      <c r="I29" s="32">
        <f t="shared" si="0"/>
        <v>0.26473287536969758</v>
      </c>
      <c r="J29" s="30"/>
      <c r="K29" s="129"/>
    </row>
    <row r="30" spans="1:11" s="112" customFormat="1">
      <c r="A30" s="39">
        <f>+'Exhibit 7.1'!A30</f>
        <v>2007</v>
      </c>
      <c r="B30" s="29"/>
      <c r="C30" s="32">
        <f>+SUMIFS('Exhibit 3.2'!F:F,'Exhibit 3.2'!A:A,A30)</f>
        <v>0.33373664044773266</v>
      </c>
      <c r="D30" s="32"/>
      <c r="E30" s="32">
        <f>+SUMIFS('Exhibit 4.4'!I:I,'Exhibit 4.4'!A:A,A30)</f>
        <v>0.84197189628330704</v>
      </c>
      <c r="F30" s="32"/>
      <c r="G30" s="32">
        <f>+SUMIFS('Exhibit 5.2'!S:S,'Exhibit 5.2'!A:A,A30)</f>
        <v>0.97395448064098578</v>
      </c>
      <c r="H30" s="115"/>
      <c r="I30" s="32">
        <f t="shared" si="0"/>
        <v>0.28851129863078001</v>
      </c>
      <c r="J30" s="30"/>
      <c r="K30" s="129"/>
    </row>
    <row r="31" spans="1:11" s="112" customFormat="1">
      <c r="A31" s="39">
        <f>+'Exhibit 7.1'!A31</f>
        <v>2008</v>
      </c>
      <c r="B31" s="29"/>
      <c r="C31" s="32">
        <f>+SUMIFS('Exhibit 3.2'!F:F,'Exhibit 3.2'!A:A,A31)</f>
        <v>0.41949634320913437</v>
      </c>
      <c r="D31" s="32"/>
      <c r="E31" s="32">
        <f>+SUMIFS('Exhibit 4.4'!I:I,'Exhibit 4.4'!A:A,A31)</f>
        <v>0.83610576818048377</v>
      </c>
      <c r="F31" s="32"/>
      <c r="G31" s="32">
        <f>+SUMIFS('Exhibit 5.2'!S:S,'Exhibit 5.2'!A:A,A31)</f>
        <v>1.1767664676974103</v>
      </c>
      <c r="H31" s="115"/>
      <c r="I31" s="32">
        <f t="shared" si="0"/>
        <v>0.29805685487799444</v>
      </c>
      <c r="J31" s="30"/>
      <c r="K31" s="129"/>
    </row>
    <row r="32" spans="1:11" s="112" customFormat="1">
      <c r="A32" s="39">
        <f>+'Exhibit 7.1'!A32</f>
        <v>2009</v>
      </c>
      <c r="B32" s="29"/>
      <c r="C32" s="32">
        <f>+SUMIFS('Exhibit 3.2'!F:F,'Exhibit 3.2'!A:A,A32)</f>
        <v>0.49567616727864561</v>
      </c>
      <c r="D32" s="32"/>
      <c r="E32" s="32">
        <f>+SUMIFS('Exhibit 4.4'!I:I,'Exhibit 4.4'!A:A,A32)</f>
        <v>0.82452937574502361</v>
      </c>
      <c r="F32" s="32"/>
      <c r="G32" s="32">
        <f>+SUMIFS('Exhibit 5.2'!S:S,'Exhibit 5.2'!A:A,A32)</f>
        <v>1.2693147277362777</v>
      </c>
      <c r="H32" s="115"/>
      <c r="I32" s="32">
        <f t="shared" si="0"/>
        <v>0.32198441556479129</v>
      </c>
      <c r="J32" s="30"/>
      <c r="K32" s="129"/>
    </row>
    <row r="33" spans="1:13" s="112" customFormat="1">
      <c r="A33" s="270">
        <f>+'Exhibit 7.1'!A33</f>
        <v>2010</v>
      </c>
      <c r="B33" s="37"/>
      <c r="C33" s="37">
        <f>+SUMIFS('Exhibit 3.2'!F:F,'Exhibit 3.2'!A:A,A33)</f>
        <v>0.49382711700914461</v>
      </c>
      <c r="D33" s="37"/>
      <c r="E33" s="37">
        <f>+SUMIFS('Exhibit 4.4'!I:I,'Exhibit 4.4'!A:A,A33)</f>
        <v>0.82206318618646435</v>
      </c>
      <c r="F33" s="37"/>
      <c r="G33" s="37">
        <f>+SUMIFS('Exhibit 5.2'!S:S,'Exhibit 5.2'!A:A,A33)</f>
        <v>1.1539345090797875</v>
      </c>
      <c r="H33" s="270"/>
      <c r="I33" s="37">
        <f t="shared" si="0"/>
        <v>0.35180254168630981</v>
      </c>
      <c r="J33" s="271"/>
      <c r="K33" s="129"/>
    </row>
    <row r="34" spans="1:13" s="112" customFormat="1">
      <c r="A34" s="115">
        <f>+'Exhibit 7.1'!A34</f>
        <v>2011</v>
      </c>
      <c r="B34" s="32"/>
      <c r="C34" s="32">
        <f>+SUMIFS('Exhibit 3.2'!F:F,'Exhibit 3.2'!A:A,A34)</f>
        <v>0.42911905558768365</v>
      </c>
      <c r="D34" s="32"/>
      <c r="E34" s="32">
        <f>+SUMIFS('Exhibit 4.4'!I:I,'Exhibit 4.4'!A:A,A34)</f>
        <v>0.83633099292577817</v>
      </c>
      <c r="F34" s="32"/>
      <c r="G34" s="32">
        <f>+SUMIFS('Exhibit 5.2'!S:S,'Exhibit 5.2'!A:A,A34)</f>
        <v>1.054067754062866</v>
      </c>
      <c r="H34" s="115"/>
      <c r="I34" s="32">
        <f t="shared" si="0"/>
        <v>0.34047675252345805</v>
      </c>
      <c r="J34" s="33"/>
      <c r="K34" s="129"/>
    </row>
    <row r="35" spans="1:13" s="112" customFormat="1">
      <c r="A35" s="115">
        <f>+'Exhibit 7.1'!A35</f>
        <v>2012</v>
      </c>
      <c r="B35" s="32"/>
      <c r="C35" s="32">
        <f>+SUMIFS('Exhibit 3.2'!F:F,'Exhibit 3.2'!A:A,A35)</f>
        <v>0.37333457834362382</v>
      </c>
      <c r="D35" s="32"/>
      <c r="E35" s="32">
        <f>+SUMIFS('Exhibit 4.4'!I:I,'Exhibit 4.4'!A:A,A35)</f>
        <v>0.87394926509241633</v>
      </c>
      <c r="F35" s="32"/>
      <c r="G35" s="32">
        <f>+SUMIFS('Exhibit 5.2'!S:S,'Exhibit 5.2'!A:A,A35)</f>
        <v>0.93842796026626063</v>
      </c>
      <c r="H35" s="115"/>
      <c r="I35" s="32">
        <f t="shared" si="0"/>
        <v>0.34768303395864597</v>
      </c>
      <c r="J35" s="33"/>
      <c r="K35" s="129"/>
    </row>
    <row r="36" spans="1:13" s="112" customFormat="1" ht="12.75" customHeight="1">
      <c r="A36" s="115">
        <f>+'Exhibit 7.1'!A36</f>
        <v>2013</v>
      </c>
      <c r="B36" s="32"/>
      <c r="C36" s="32">
        <f>+SUMIFS('Exhibit 3.2'!F:F,'Exhibit 3.2'!A:A,A36)</f>
        <v>0.30733747948485302</v>
      </c>
      <c r="D36" s="32"/>
      <c r="E36" s="32">
        <f>+SUMIFS('Exhibit 4.4'!I:I,'Exhibit 4.4'!A:A,A36)</f>
        <v>0.94916505649214966</v>
      </c>
      <c r="F36" s="32"/>
      <c r="G36" s="32">
        <f>+SUMIFS('Exhibit 5.2'!S:S,'Exhibit 5.2'!A:A,A36)</f>
        <v>0.81996785402205441</v>
      </c>
      <c r="H36" s="115"/>
      <c r="I36" s="32">
        <f t="shared" si="0"/>
        <v>0.35576272246100671</v>
      </c>
      <c r="J36" s="33"/>
      <c r="K36" s="129"/>
    </row>
    <row r="37" spans="1:13" s="112" customFormat="1" ht="12.75" customHeight="1">
      <c r="A37" s="39">
        <f>+'Exhibit 7.1'!A37</f>
        <v>2014</v>
      </c>
      <c r="B37" s="32"/>
      <c r="C37" s="32">
        <f>+SUMIFS('Exhibit 3.2'!F:F,'Exhibit 3.2'!A:A,A37)</f>
        <v>0.27792050986498956</v>
      </c>
      <c r="D37" s="32"/>
      <c r="E37" s="32">
        <f>+SUMIFS('Exhibit 4.4'!I:I,'Exhibit 4.4'!A:A,A37)</f>
        <v>0.99275421461214375</v>
      </c>
      <c r="F37" s="32"/>
      <c r="G37" s="32">
        <f>+SUMIFS('Exhibit 5.2'!S:S,'Exhibit 5.2'!A:A,A37)</f>
        <v>0.75556755366359474</v>
      </c>
      <c r="H37" s="115"/>
      <c r="I37" s="32">
        <f t="shared" si="0"/>
        <v>0.3651649096865105</v>
      </c>
      <c r="J37" s="30"/>
      <c r="K37" s="129"/>
    </row>
    <row r="38" spans="1:13" ht="12.75" customHeight="1">
      <c r="A38" s="170">
        <f>+'Exhibit 7.1'!A38</f>
        <v>2015</v>
      </c>
      <c r="B38" s="33"/>
      <c r="C38" s="33">
        <f>+SUMIFS('Exhibit 3.2'!F:F,'Exhibit 3.2'!A:A,A38)</f>
        <v>0.26362401744262037</v>
      </c>
      <c r="D38" s="33"/>
      <c r="E38" s="32">
        <f>+SUMIFS('Exhibit 4.4'!I:I,'Exhibit 4.4'!A:A,A38)</f>
        <v>1.0109925196669354</v>
      </c>
      <c r="F38" s="33"/>
      <c r="G38" s="33">
        <f>+SUMIFS('Exhibit 5.2'!S:S,'Exhibit 5.2'!A:A,A38)</f>
        <v>0.72184897512265223</v>
      </c>
      <c r="H38" s="61"/>
      <c r="I38" s="33">
        <f t="shared" si="0"/>
        <v>0.36922115127163418</v>
      </c>
      <c r="J38" s="30"/>
    </row>
    <row r="39" spans="1:13" ht="12.75" customHeight="1">
      <c r="A39" s="61">
        <f>+'Exhibit 7.1'!A39</f>
        <v>2016</v>
      </c>
      <c r="B39" s="33"/>
      <c r="C39" s="33">
        <f>+SUMIFS('Exhibit 3.2'!F:F,'Exhibit 3.2'!A:A,A39)</f>
        <v>0.24920312028798042</v>
      </c>
      <c r="D39" s="33"/>
      <c r="E39" s="32">
        <f>+SUMIFS('Exhibit 4.4'!I:I,'Exhibit 4.4'!A:A,A39)</f>
        <v>1.0120247849475819</v>
      </c>
      <c r="F39" s="33"/>
      <c r="G39" s="33">
        <f>+SUMIFS('Exhibit 5.2'!S:S,'Exhibit 5.2'!A:A,A39)</f>
        <v>0.74672272830276665</v>
      </c>
      <c r="H39" s="33"/>
      <c r="I39" s="33">
        <f>C39*E39/G39</f>
        <v>0.33774214264367841</v>
      </c>
      <c r="J39" s="30"/>
    </row>
    <row r="40" spans="1:13" ht="12.75" customHeight="1">
      <c r="A40" s="170">
        <f>+'Exhibit 7.1'!A40</f>
        <v>2017</v>
      </c>
      <c r="B40" s="33"/>
      <c r="C40" s="33">
        <f>+SUMIFS('Exhibit 3.2'!F:F,'Exhibit 3.2'!A:A,A40)</f>
        <v>0.2554928613982983</v>
      </c>
      <c r="D40" s="33"/>
      <c r="E40" s="32">
        <f>+SUMIFS('Exhibit 4.4'!I:I,'Exhibit 4.4'!A:A,A40)</f>
        <v>1.0140610194746871</v>
      </c>
      <c r="F40" s="33"/>
      <c r="G40" s="33">
        <f>+SUMIFS('Exhibit 5.2'!S:S,'Exhibit 5.2'!A:A,A40)</f>
        <v>0.78289259462770722</v>
      </c>
      <c r="H40" s="33"/>
      <c r="I40" s="33">
        <f>C40*E40/G40</f>
        <v>0.33093345533721319</v>
      </c>
      <c r="J40" s="30"/>
    </row>
    <row r="41" spans="1:13" ht="12.75" customHeight="1">
      <c r="A41" s="286">
        <f>+'Exhibit 7.1'!A41</f>
        <v>2018</v>
      </c>
      <c r="B41" s="30"/>
      <c r="C41" s="33">
        <f>+SUMIFS('Exhibit 3.2'!F:F,'Exhibit 3.2'!A:A,A41)</f>
        <v>0.27604770465464656</v>
      </c>
      <c r="D41" s="33"/>
      <c r="E41" s="32">
        <f>+SUMIFS('Exhibit 4.4'!I:I,'Exhibit 4.4'!A:A,A41)</f>
        <v>1.01508219216</v>
      </c>
      <c r="F41" s="33"/>
      <c r="G41" s="33">
        <f>+SUMIFS('Exhibit 5.2'!S:S,'Exhibit 5.2'!A:A,A41)</f>
        <v>0.82101887976011623</v>
      </c>
      <c r="H41" s="33"/>
      <c r="I41" s="33">
        <f>C41*E41/G41</f>
        <v>0.34129679120588119</v>
      </c>
      <c r="J41" s="30"/>
    </row>
    <row r="42" spans="1:13" ht="12.75" customHeight="1">
      <c r="A42" s="286">
        <f>+'Exhibit 7.1'!A42</f>
        <v>2019</v>
      </c>
      <c r="B42" s="30"/>
      <c r="C42" s="33">
        <f>+SUMIFS('Exhibit 3.2'!F:F,'Exhibit 3.2'!A:A,A42)</f>
        <v>0.2992042292473755</v>
      </c>
      <c r="D42" s="33"/>
      <c r="E42" s="32">
        <f>+SUMIFS('Exhibit 4.4'!I:I,'Exhibit 4.4'!A:A,A42)</f>
        <v>1.0110380399999999</v>
      </c>
      <c r="F42" s="33"/>
      <c r="G42" s="33">
        <f>+SUMIFS('Exhibit 5.2'!S:S,'Exhibit 5.2'!A:A,A42)</f>
        <v>0.90906677367927635</v>
      </c>
      <c r="H42" s="33"/>
      <c r="I42" s="33">
        <f>C42*E42/G42</f>
        <v>0.33276637784663243</v>
      </c>
      <c r="J42" s="30"/>
      <c r="K42" s="490" t="s">
        <v>260</v>
      </c>
      <c r="L42" s="491"/>
      <c r="M42" s="492"/>
    </row>
    <row r="43" spans="1:13" ht="12.75" customHeight="1">
      <c r="A43" s="170"/>
      <c r="B43" s="124"/>
      <c r="C43" s="124"/>
      <c r="D43" s="124"/>
      <c r="E43" s="61"/>
      <c r="F43" s="61"/>
      <c r="G43" s="61"/>
      <c r="H43" s="62"/>
      <c r="J43" s="124"/>
      <c r="K43" s="130" t="s">
        <v>383</v>
      </c>
      <c r="L43" s="131" t="s">
        <v>259</v>
      </c>
      <c r="M43" s="116" t="s">
        <v>261</v>
      </c>
    </row>
    <row r="44" spans="1:13" ht="12.75" customHeight="1">
      <c r="A44" s="257"/>
      <c r="B44" s="257"/>
      <c r="C44" s="257"/>
      <c r="D44" s="257"/>
      <c r="E44" s="61"/>
      <c r="F44" s="61"/>
      <c r="G44" s="61"/>
      <c r="H44" s="62"/>
      <c r="I44" s="61" t="s">
        <v>232</v>
      </c>
      <c r="J44" s="257"/>
      <c r="K44" s="127">
        <f>+'Exhibit 6.1'!A48</f>
        <v>2019</v>
      </c>
      <c r="L44" s="344">
        <f>'Exhibit 7.1'!L44</f>
        <v>8.8999999999999999E-3</v>
      </c>
      <c r="M44" s="117">
        <f>+'Exhibit 6.4'!$P$34</f>
        <v>2.5000000000000001E-2</v>
      </c>
    </row>
    <row r="45" spans="1:13" ht="12.75" customHeight="1">
      <c r="A45" s="257">
        <f>+'Exhibit 7.1'!A45</f>
        <v>2020</v>
      </c>
      <c r="B45" s="124"/>
      <c r="C45" s="124"/>
      <c r="D45" s="124"/>
      <c r="E45" s="61"/>
      <c r="F45" s="61"/>
      <c r="G45" s="61"/>
      <c r="H45" s="62"/>
      <c r="I45" s="30">
        <f>AVERAGE(I41*(1+L44)*(1+M44)*(1+L45)*(1+M45),I42*(1+L45)*(1+M45))</f>
        <v>0.32752893671730476</v>
      </c>
      <c r="J45" s="124"/>
      <c r="K45" s="127">
        <f>+'Exhibit 6.1'!A49</f>
        <v>2020</v>
      </c>
      <c r="L45" s="132">
        <f>'Exhibit 7.1'!L45</f>
        <v>-6.8000000000000005E-2</v>
      </c>
      <c r="M45" s="117">
        <f>+'Exhibit 6.4'!$P$34</f>
        <v>2.5000000000000001E-2</v>
      </c>
    </row>
    <row r="46" spans="1:13">
      <c r="A46" s="170">
        <f>+'Exhibit 7.1'!A46</f>
        <v>2021</v>
      </c>
      <c r="B46" s="124"/>
      <c r="C46" s="124"/>
      <c r="D46" s="124"/>
      <c r="E46" s="61"/>
      <c r="F46" s="61"/>
      <c r="G46" s="61"/>
      <c r="H46" s="62"/>
      <c r="I46" s="30">
        <f>I45*(1+L46)*(1+M46)</f>
        <v>0.33739574593591354</v>
      </c>
      <c r="J46" s="124"/>
      <c r="K46" s="127">
        <f>+'Exhibit 6.1'!A50</f>
        <v>2021</v>
      </c>
      <c r="L46" s="132">
        <f>'Exhibit 7.1'!L46</f>
        <v>5.0000000000000001E-3</v>
      </c>
      <c r="M46" s="117">
        <f>+'Exhibit 6.4'!$P$34</f>
        <v>2.5000000000000001E-2</v>
      </c>
    </row>
    <row r="47" spans="1:13">
      <c r="A47" s="173">
        <f>+'Exhibit 7.1'!A47</f>
        <v>44501</v>
      </c>
      <c r="B47" s="124"/>
      <c r="C47" s="124"/>
      <c r="D47" s="124"/>
      <c r="E47" s="61"/>
      <c r="F47" s="61"/>
      <c r="G47" s="61"/>
      <c r="H47" s="62"/>
      <c r="I47" s="30">
        <f>I46*((1+L47)^(4/12))*((1+M47)^(4/12))</f>
        <v>0.34018426698605886</v>
      </c>
      <c r="J47" s="124"/>
      <c r="K47" s="128">
        <f>+'Exhibit 6.1'!A51</f>
        <v>2022</v>
      </c>
      <c r="L47" s="493">
        <f>'Exhibit 7.1'!L47</f>
        <v>0</v>
      </c>
      <c r="M47" s="118">
        <f>+'Exhibit 6.4'!$P$34</f>
        <v>2.5000000000000001E-2</v>
      </c>
    </row>
    <row r="48" spans="1:13">
      <c r="A48" s="170"/>
      <c r="B48" s="170"/>
      <c r="C48" s="170"/>
      <c r="D48" s="170"/>
      <c r="E48" s="61"/>
      <c r="F48" s="61"/>
      <c r="G48" s="61"/>
      <c r="H48" s="62"/>
      <c r="I48" s="62"/>
      <c r="J48" s="170"/>
    </row>
    <row r="49" spans="1:10" ht="27.75" customHeight="1">
      <c r="A49" s="31" t="s">
        <v>22</v>
      </c>
      <c r="B49" s="534" t="s">
        <v>240</v>
      </c>
      <c r="C49" s="534"/>
      <c r="D49" s="534"/>
      <c r="E49" s="534"/>
      <c r="F49" s="534"/>
      <c r="G49" s="534"/>
      <c r="H49" s="534"/>
      <c r="I49" s="534"/>
      <c r="J49" s="124"/>
    </row>
    <row r="50" spans="1:10">
      <c r="A50" s="31" t="s">
        <v>28</v>
      </c>
      <c r="B50" s="534" t="s">
        <v>241</v>
      </c>
      <c r="C50" s="534"/>
      <c r="D50" s="534"/>
      <c r="E50" s="534"/>
      <c r="F50" s="534"/>
      <c r="G50" s="534"/>
      <c r="H50" s="534"/>
      <c r="I50" s="534"/>
      <c r="J50" s="124"/>
    </row>
    <row r="51" spans="1:10">
      <c r="A51" s="31" t="s">
        <v>38</v>
      </c>
      <c r="B51" s="534" t="s">
        <v>235</v>
      </c>
      <c r="C51" s="534"/>
      <c r="D51" s="534"/>
      <c r="E51" s="534"/>
      <c r="F51" s="534"/>
      <c r="G51" s="534"/>
      <c r="H51" s="534"/>
      <c r="I51" s="534"/>
      <c r="J51" s="124"/>
    </row>
    <row r="52" spans="1:10" ht="51.95" customHeight="1">
      <c r="A52" s="31" t="s">
        <v>57</v>
      </c>
      <c r="B52" s="534" t="s">
        <v>561</v>
      </c>
      <c r="C52" s="534"/>
      <c r="D52" s="534"/>
      <c r="E52" s="534"/>
      <c r="F52" s="534"/>
      <c r="G52" s="534"/>
      <c r="H52" s="534"/>
      <c r="I52" s="534"/>
      <c r="J52" s="124"/>
    </row>
    <row r="53" spans="1:10" ht="27" customHeight="1">
      <c r="A53" s="31" t="s">
        <v>41</v>
      </c>
      <c r="B53" s="534" t="s">
        <v>371</v>
      </c>
      <c r="C53" s="534"/>
      <c r="D53" s="534"/>
      <c r="E53" s="534"/>
      <c r="F53" s="534"/>
      <c r="G53" s="534"/>
      <c r="H53" s="534"/>
      <c r="I53" s="534"/>
    </row>
  </sheetData>
  <mergeCells count="5">
    <mergeCell ref="B53:I53"/>
    <mergeCell ref="B50:I50"/>
    <mergeCell ref="B51:I51"/>
    <mergeCell ref="B52:I52"/>
    <mergeCell ref="B49:I49"/>
  </mergeCells>
  <printOptions horizontalCentered="1"/>
  <pageMargins left="0.5" right="0.5" top="0.75" bottom="0.75" header="0.33" footer="0.33"/>
  <pageSetup scale="72" orientation="portrait" blackAndWhite="1" horizontalDpi="1200" verticalDpi="1200" r:id="rId1"/>
  <headerFooter scaleWithDoc="0">
    <oddHeader>&amp;R&amp;"Arial,Regular"&amp;10Exhibit 7.3</oddHeader>
  </headerFooter>
  <ignoredErrors>
    <ignoredError sqref="C5:I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T26"/>
  <sheetViews>
    <sheetView zoomScaleNormal="100" zoomScaleSheetLayoutView="115" workbookViewId="0"/>
  </sheetViews>
  <sheetFormatPr defaultColWidth="9.1328125" defaultRowHeight="12.75"/>
  <cols>
    <col min="1" max="1" width="6.73046875" style="102" customWidth="1"/>
    <col min="2" max="7" width="7.73046875" style="102" customWidth="1"/>
    <col min="8" max="8" width="14" style="102" customWidth="1"/>
    <col min="9" max="9" width="5" style="102" customWidth="1"/>
    <col min="10" max="10" width="1.1328125" style="102" customWidth="1"/>
    <col min="11" max="11" width="7.73046875" style="102" customWidth="1"/>
    <col min="12" max="12" width="1.73046875" style="102" customWidth="1"/>
    <col min="13" max="13" width="7.73046875" style="102" customWidth="1"/>
    <col min="14" max="14" width="1.73046875" style="102" customWidth="1"/>
    <col min="15" max="15" width="7.73046875" style="102" customWidth="1"/>
    <col min="16" max="16384" width="9.1328125" style="102"/>
  </cols>
  <sheetData>
    <row r="1" spans="1:20" ht="14.25">
      <c r="A1" s="487" t="s">
        <v>463</v>
      </c>
      <c r="B1" s="311"/>
      <c r="C1" s="311"/>
      <c r="D1" s="311"/>
      <c r="E1" s="311"/>
      <c r="F1" s="311"/>
      <c r="G1" s="311"/>
      <c r="H1" s="311"/>
      <c r="I1" s="311"/>
      <c r="J1" s="311"/>
      <c r="K1" s="311"/>
      <c r="L1" s="311"/>
      <c r="M1" s="311"/>
      <c r="N1" s="311"/>
      <c r="O1" s="311"/>
      <c r="P1"/>
    </row>
    <row r="2" spans="1:20" ht="14.25">
      <c r="A2" s="488" t="s">
        <v>535</v>
      </c>
      <c r="B2" s="312"/>
      <c r="C2" s="312"/>
      <c r="D2" s="312"/>
      <c r="E2" s="312"/>
      <c r="F2" s="312"/>
      <c r="G2" s="312"/>
      <c r="H2" s="312"/>
      <c r="I2" s="312"/>
      <c r="J2" s="312"/>
      <c r="K2" s="312"/>
      <c r="L2" s="312"/>
      <c r="M2" s="312"/>
      <c r="N2" s="312"/>
      <c r="O2" s="312"/>
      <c r="P2"/>
    </row>
    <row r="3" spans="1:20" ht="13.15">
      <c r="A3" s="488" t="s">
        <v>516</v>
      </c>
      <c r="B3" s="312"/>
      <c r="C3" s="312"/>
      <c r="D3" s="312"/>
      <c r="E3" s="312"/>
      <c r="F3" s="312"/>
      <c r="G3" s="312"/>
      <c r="H3" s="312"/>
      <c r="I3" s="312"/>
      <c r="J3" s="312"/>
      <c r="K3" s="312"/>
      <c r="L3" s="312"/>
      <c r="M3" s="312"/>
      <c r="N3" s="312"/>
      <c r="O3" s="312"/>
    </row>
    <row r="4" spans="1:20" ht="13.15">
      <c r="A4" s="345"/>
      <c r="B4" s="312"/>
      <c r="C4" s="312"/>
      <c r="D4" s="312"/>
      <c r="E4" s="312"/>
      <c r="F4" s="312"/>
      <c r="G4" s="312"/>
      <c r="H4" s="312"/>
      <c r="I4" s="312"/>
      <c r="J4" s="312"/>
      <c r="K4" s="312"/>
      <c r="L4" s="312"/>
      <c r="M4" s="312"/>
      <c r="N4" s="312"/>
      <c r="O4" s="312"/>
    </row>
    <row r="5" spans="1:20">
      <c r="A5" s="95"/>
      <c r="B5" s="96"/>
      <c r="C5" s="96"/>
      <c r="D5" s="96"/>
      <c r="E5" s="96"/>
      <c r="F5" s="96"/>
      <c r="G5" s="97"/>
      <c r="H5" s="97"/>
      <c r="I5" s="97"/>
      <c r="J5" s="97"/>
      <c r="K5" s="97"/>
      <c r="L5" s="97"/>
      <c r="M5" s="98"/>
      <c r="N5" s="98"/>
      <c r="O5" s="98"/>
    </row>
    <row r="6" spans="1:20">
      <c r="A6" s="95"/>
      <c r="B6" s="96"/>
      <c r="C6" s="96"/>
      <c r="D6" s="96"/>
      <c r="E6" s="96"/>
      <c r="F6" s="96"/>
      <c r="G6" s="99"/>
      <c r="H6" s="99"/>
      <c r="I6" s="99"/>
      <c r="J6" s="99"/>
      <c r="K6" s="99"/>
      <c r="L6" s="99"/>
      <c r="M6" s="99"/>
      <c r="N6" s="99"/>
      <c r="O6" s="99"/>
    </row>
    <row r="7" spans="1:20">
      <c r="A7" s="95"/>
      <c r="B7" s="96"/>
      <c r="C7" s="96"/>
      <c r="D7" s="96"/>
      <c r="E7" s="96"/>
      <c r="F7" s="96"/>
      <c r="G7" s="99"/>
      <c r="H7" s="99"/>
      <c r="I7" s="99"/>
      <c r="J7" s="99"/>
      <c r="K7" s="97" t="s">
        <v>3</v>
      </c>
      <c r="L7" s="97"/>
      <c r="M7" s="97" t="s">
        <v>5</v>
      </c>
      <c r="N7" s="97"/>
      <c r="O7" s="97" t="s">
        <v>116</v>
      </c>
    </row>
    <row r="8" spans="1:20">
      <c r="A8" s="95"/>
      <c r="B8" s="96"/>
      <c r="C8" s="96"/>
      <c r="D8" s="96"/>
      <c r="E8" s="96"/>
      <c r="F8" s="96"/>
      <c r="G8" s="99"/>
      <c r="H8" s="99"/>
      <c r="I8" s="99"/>
      <c r="J8" s="99"/>
      <c r="K8" s="99"/>
      <c r="L8" s="99"/>
      <c r="M8" s="99"/>
      <c r="N8" s="99"/>
      <c r="O8" s="99"/>
    </row>
    <row r="9" spans="1:20" ht="28.5" customHeight="1">
      <c r="A9" s="100" t="s">
        <v>242</v>
      </c>
      <c r="B9" s="562" t="s">
        <v>243</v>
      </c>
      <c r="C9" s="562"/>
      <c r="D9" s="562"/>
      <c r="E9" s="562"/>
      <c r="F9" s="562"/>
      <c r="G9" s="562"/>
      <c r="H9" s="562"/>
      <c r="I9" s="99"/>
      <c r="J9" s="99"/>
      <c r="K9" s="101">
        <f ca="1">+ROUND('Exhibit 7.1'!I47,3)</f>
        <v>0.27800000000000002</v>
      </c>
      <c r="L9" s="101"/>
      <c r="M9" s="101">
        <f>+ROUND('Exhibit 7.3'!I47,3)</f>
        <v>0.34</v>
      </c>
      <c r="N9" s="101"/>
      <c r="O9" s="101">
        <f ca="1">ROUND(M9,3)+ROUND(K9,3)</f>
        <v>0.6180000000000001</v>
      </c>
      <c r="Q9" s="520" t="s">
        <v>562</v>
      </c>
      <c r="R9" s="521" t="s">
        <v>563</v>
      </c>
      <c r="S9" s="521" t="s">
        <v>564</v>
      </c>
      <c r="T9" s="522" t="s">
        <v>419</v>
      </c>
    </row>
    <row r="10" spans="1:20">
      <c r="A10" s="95"/>
      <c r="G10" s="99"/>
      <c r="H10" s="99"/>
      <c r="I10" s="99"/>
      <c r="J10" s="99"/>
      <c r="K10" s="99"/>
      <c r="L10" s="99"/>
      <c r="M10" s="99"/>
      <c r="N10" s="99"/>
      <c r="O10" s="99"/>
      <c r="Q10" s="523"/>
      <c r="R10" s="519"/>
      <c r="S10" s="519"/>
      <c r="T10" s="524"/>
    </row>
    <row r="11" spans="1:20">
      <c r="A11" s="103" t="s">
        <v>355</v>
      </c>
      <c r="B11" s="102" t="s">
        <v>244</v>
      </c>
      <c r="K11" s="104"/>
      <c r="L11" s="104"/>
      <c r="M11" s="98"/>
      <c r="N11" s="98"/>
      <c r="O11" s="113">
        <f>1+T11</f>
        <v>1.34</v>
      </c>
      <c r="Q11" s="525">
        <v>0.161</v>
      </c>
      <c r="R11" s="526">
        <v>4.2000000000000003E-2</v>
      </c>
      <c r="S11" s="526">
        <v>0.13700000000000001</v>
      </c>
      <c r="T11" s="527">
        <f>SUM(Q11:S11)</f>
        <v>0.34</v>
      </c>
    </row>
    <row r="12" spans="1:20">
      <c r="A12" s="95"/>
      <c r="B12" s="102" t="s">
        <v>360</v>
      </c>
      <c r="K12" s="99"/>
      <c r="L12" s="99"/>
      <c r="M12" s="99"/>
      <c r="N12" s="99"/>
      <c r="O12" s="99"/>
    </row>
    <row r="13" spans="1:20">
      <c r="A13" s="95"/>
      <c r="J13" s="192"/>
      <c r="K13" s="105"/>
      <c r="L13" s="105"/>
      <c r="M13" s="105"/>
      <c r="N13" s="104"/>
    </row>
    <row r="14" spans="1:20" ht="39.75" customHeight="1">
      <c r="A14" s="100" t="s">
        <v>356</v>
      </c>
      <c r="B14" s="534" t="s">
        <v>464</v>
      </c>
      <c r="C14" s="534"/>
      <c r="D14" s="534"/>
      <c r="E14" s="534"/>
      <c r="F14" s="534"/>
      <c r="G14" s="534"/>
      <c r="H14" s="534"/>
      <c r="I14" s="563"/>
      <c r="J14" s="192"/>
      <c r="K14" s="105"/>
      <c r="L14" s="105"/>
      <c r="M14" s="105"/>
      <c r="N14" s="104"/>
      <c r="O14" s="105">
        <f ca="1">+O9*O11</f>
        <v>0.82812000000000019</v>
      </c>
    </row>
    <row r="15" spans="1:20" ht="12.75" customHeight="1">
      <c r="A15" s="100"/>
      <c r="B15" s="364"/>
      <c r="C15" s="364"/>
      <c r="D15" s="364"/>
      <c r="E15" s="364"/>
      <c r="F15" s="364"/>
      <c r="G15" s="364"/>
      <c r="H15" s="364"/>
      <c r="I15" s="365"/>
      <c r="J15" s="366"/>
      <c r="K15" s="105"/>
      <c r="L15" s="105"/>
      <c r="M15" s="105"/>
      <c r="N15" s="104"/>
      <c r="O15" s="105"/>
    </row>
    <row r="16" spans="1:20" ht="39.75" customHeight="1">
      <c r="A16" s="155" t="s">
        <v>245</v>
      </c>
      <c r="B16" s="534" t="s">
        <v>465</v>
      </c>
      <c r="C16" s="534"/>
      <c r="D16" s="534"/>
      <c r="E16" s="534"/>
      <c r="F16" s="534"/>
      <c r="G16" s="534"/>
      <c r="H16" s="534"/>
      <c r="I16" s="534"/>
      <c r="J16" s="366"/>
      <c r="K16" s="105"/>
      <c r="L16" s="105"/>
      <c r="M16" s="105"/>
      <c r="N16" s="104"/>
      <c r="O16" s="323">
        <v>3.7999999999999999E-2</v>
      </c>
    </row>
    <row r="17" spans="1:15" ht="12.75" customHeight="1">
      <c r="A17" s="155"/>
      <c r="B17" s="364"/>
      <c r="C17" s="364"/>
      <c r="D17" s="364"/>
      <c r="E17" s="364"/>
      <c r="F17" s="364"/>
      <c r="G17" s="364"/>
      <c r="H17" s="364"/>
      <c r="I17" s="365"/>
      <c r="J17" s="366"/>
      <c r="K17" s="105"/>
      <c r="L17" s="105"/>
      <c r="M17" s="105"/>
      <c r="N17" s="104"/>
      <c r="O17" s="105"/>
    </row>
    <row r="18" spans="1:15" ht="39.75" customHeight="1">
      <c r="A18" s="155" t="s">
        <v>349</v>
      </c>
      <c r="B18" s="534" t="s">
        <v>466</v>
      </c>
      <c r="C18" s="534"/>
      <c r="D18" s="534"/>
      <c r="E18" s="534"/>
      <c r="F18" s="534"/>
      <c r="G18" s="534"/>
      <c r="H18" s="534"/>
      <c r="I18" s="534"/>
      <c r="J18" s="366"/>
      <c r="K18" s="105"/>
      <c r="L18" s="105"/>
      <c r="M18" s="105"/>
      <c r="N18" s="104"/>
      <c r="O18" s="105">
        <f ca="1">O14*(1+O16)</f>
        <v>0.85958856000000028</v>
      </c>
    </row>
    <row r="19" spans="1:15" ht="12.75" customHeight="1">
      <c r="A19" s="155"/>
      <c r="B19" s="192"/>
      <c r="C19" s="192"/>
      <c r="D19" s="192"/>
      <c r="E19" s="192"/>
      <c r="F19" s="192"/>
      <c r="G19" s="192"/>
      <c r="H19" s="192"/>
      <c r="I19" s="192"/>
      <c r="J19" s="192"/>
      <c r="K19" s="105"/>
      <c r="L19" s="105"/>
      <c r="M19" s="105"/>
      <c r="N19" s="104"/>
      <c r="O19" s="105"/>
    </row>
    <row r="20" spans="1:15" ht="39.75" customHeight="1">
      <c r="A20" s="155" t="s">
        <v>246</v>
      </c>
      <c r="B20" s="534" t="s">
        <v>536</v>
      </c>
      <c r="C20" s="534"/>
      <c r="D20" s="534"/>
      <c r="E20" s="534"/>
      <c r="F20" s="534"/>
      <c r="G20" s="534"/>
      <c r="H20" s="534"/>
      <c r="I20" s="563"/>
      <c r="J20" s="190"/>
      <c r="K20" s="163"/>
      <c r="L20" s="163"/>
      <c r="M20" s="163"/>
      <c r="N20" s="30"/>
      <c r="O20" s="323">
        <v>5.0000000000000001E-3</v>
      </c>
    </row>
    <row r="21" spans="1:15">
      <c r="A21" s="155"/>
    </row>
    <row r="22" spans="1:15" ht="40.15" customHeight="1">
      <c r="A22" s="155" t="s">
        <v>300</v>
      </c>
      <c r="B22" s="534" t="s">
        <v>537</v>
      </c>
      <c r="C22" s="534"/>
      <c r="D22" s="534"/>
      <c r="E22" s="534"/>
      <c r="F22" s="534"/>
      <c r="G22" s="534"/>
      <c r="H22" s="534"/>
      <c r="I22" s="563"/>
      <c r="J22" s="192"/>
      <c r="K22" s="105"/>
      <c r="L22" s="105"/>
      <c r="M22" s="105"/>
      <c r="N22" s="104"/>
      <c r="O22" s="174">
        <f ca="1">+ROUND(O18*(1+O20)-1,3)</f>
        <v>-0.13600000000000001</v>
      </c>
    </row>
    <row r="23" spans="1:15">
      <c r="A23" s="155"/>
      <c r="B23" s="190"/>
      <c r="C23" s="190"/>
      <c r="D23" s="190"/>
      <c r="E23" s="190"/>
      <c r="F23" s="190"/>
      <c r="G23" s="190"/>
      <c r="H23" s="190"/>
      <c r="I23" s="192"/>
      <c r="J23" s="192"/>
      <c r="K23" s="105"/>
      <c r="L23" s="105"/>
      <c r="M23" s="105"/>
      <c r="N23" s="104"/>
      <c r="O23" s="105"/>
    </row>
    <row r="24" spans="1:15" ht="28.15" customHeight="1">
      <c r="A24" s="155" t="s">
        <v>421</v>
      </c>
      <c r="B24" s="534" t="s">
        <v>538</v>
      </c>
      <c r="C24" s="534"/>
      <c r="D24" s="534"/>
      <c r="E24" s="534"/>
      <c r="F24" s="534"/>
      <c r="G24" s="534"/>
      <c r="H24" s="534"/>
      <c r="I24" s="532"/>
      <c r="O24" s="460">
        <v>1.8</v>
      </c>
    </row>
    <row r="25" spans="1:15">
      <c r="A25" s="155"/>
      <c r="B25" s="184"/>
      <c r="C25" s="184"/>
      <c r="D25" s="184"/>
      <c r="E25" s="184"/>
      <c r="F25" s="184"/>
      <c r="G25" s="184"/>
      <c r="H25" s="184"/>
      <c r="O25" s="99"/>
    </row>
    <row r="26" spans="1:15" ht="39.6" customHeight="1">
      <c r="A26" s="155" t="s">
        <v>420</v>
      </c>
      <c r="B26" s="534" t="s">
        <v>539</v>
      </c>
      <c r="C26" s="534"/>
      <c r="D26" s="534"/>
      <c r="E26" s="534"/>
      <c r="F26" s="534"/>
      <c r="G26" s="534"/>
      <c r="H26" s="534"/>
      <c r="I26" s="532"/>
      <c r="O26" s="106">
        <f ca="1">+ROUND(O24*(1+O22),2)</f>
        <v>1.56</v>
      </c>
    </row>
  </sheetData>
  <sheetProtection selectLockedCells="1"/>
  <mergeCells count="8">
    <mergeCell ref="B26:I26"/>
    <mergeCell ref="B9:H9"/>
    <mergeCell ref="B14:I14"/>
    <mergeCell ref="B22:I22"/>
    <mergeCell ref="B24:I24"/>
    <mergeCell ref="B20:I20"/>
    <mergeCell ref="B16:I16"/>
    <mergeCell ref="B18:I18"/>
  </mergeCells>
  <printOptions horizontalCentered="1"/>
  <pageMargins left="0.5" right="0.5" top="0.75" bottom="0.75" header="0.33" footer="0.33"/>
  <pageSetup scale="95" orientation="portrait" blackAndWhite="1" r:id="rId1"/>
  <headerFooter scaleWithDoc="0">
    <oddHeader>&amp;R&amp;"Arial,Regular"&amp;10Exhibit 8</oddHeader>
  </headerFooter>
  <ignoredErrors>
    <ignoredError sqref="B3:O3 J21:N21 J12:O12 J10:O10 J9 J24:N24 J25:N25 J13:O13 J14:N14 J23:N23 J22:N22 J26:N26 O23 O25 O26 N9:O9 L9 J11:N11 A5:O8" unlockedFormula="1"/>
    <ignoredError sqref="A10 A9 A12:A13" numberStoredAsText="1" unlockedFormula="1"/>
    <ignoredError sqref="A27 A25 A2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Normal="100" workbookViewId="0"/>
  </sheetViews>
  <sheetFormatPr defaultColWidth="9.1328125" defaultRowHeight="12.75"/>
  <cols>
    <col min="1" max="1" width="14" style="122" customWidth="1"/>
    <col min="2" max="17" width="7.73046875" style="122" customWidth="1"/>
    <col min="18" max="16384" width="9.1328125" style="122"/>
  </cols>
  <sheetData>
    <row r="1" spans="1:17" ht="13.15" customHeight="1">
      <c r="A1" s="274" t="s">
        <v>27</v>
      </c>
      <c r="B1" s="274"/>
      <c r="C1" s="274"/>
      <c r="D1" s="274"/>
      <c r="E1" s="274"/>
      <c r="F1" s="274"/>
      <c r="G1" s="274"/>
      <c r="H1" s="274"/>
      <c r="I1" s="274"/>
      <c r="J1" s="274"/>
      <c r="K1" s="274"/>
      <c r="L1" s="274"/>
      <c r="M1" s="274"/>
      <c r="N1" s="274"/>
      <c r="O1" s="274"/>
      <c r="P1" s="274"/>
      <c r="Q1" s="274"/>
    </row>
    <row r="2" spans="1:17" ht="13.15" customHeight="1">
      <c r="A2" s="120"/>
      <c r="B2" s="120"/>
      <c r="C2" s="120"/>
      <c r="D2" s="120"/>
      <c r="E2" s="120"/>
      <c r="F2" s="120"/>
      <c r="G2" s="120"/>
      <c r="H2" s="120"/>
      <c r="I2" s="120"/>
      <c r="J2" s="120"/>
      <c r="K2" s="120"/>
      <c r="L2" s="120"/>
      <c r="M2" s="120"/>
      <c r="N2" s="120"/>
      <c r="O2" s="120"/>
      <c r="P2" s="120"/>
      <c r="Q2" s="120"/>
    </row>
    <row r="3" spans="1:17" ht="13.15" customHeight="1">
      <c r="A3" s="121"/>
      <c r="B3" s="275" t="s">
        <v>309</v>
      </c>
      <c r="C3" s="275"/>
      <c r="D3" s="275"/>
      <c r="E3" s="275"/>
      <c r="F3" s="275"/>
      <c r="G3" s="275"/>
      <c r="H3" s="275"/>
      <c r="I3" s="275"/>
      <c r="J3" s="275"/>
      <c r="K3" s="275"/>
      <c r="L3" s="275"/>
      <c r="M3" s="275"/>
      <c r="N3" s="275"/>
      <c r="O3" s="275"/>
      <c r="P3" s="275"/>
      <c r="Q3" s="275"/>
    </row>
    <row r="4" spans="1:17" ht="13.15" customHeight="1">
      <c r="A4" s="11" t="s">
        <v>19</v>
      </c>
      <c r="B4" s="11" t="s">
        <v>470</v>
      </c>
      <c r="C4" s="11" t="s">
        <v>471</v>
      </c>
      <c r="D4" s="11" t="s">
        <v>472</v>
      </c>
      <c r="E4" s="11" t="s">
        <v>473</v>
      </c>
      <c r="F4" s="11" t="s">
        <v>474</v>
      </c>
      <c r="G4" s="11" t="s">
        <v>475</v>
      </c>
      <c r="H4" s="11" t="s">
        <v>476</v>
      </c>
      <c r="I4" s="11" t="s">
        <v>477</v>
      </c>
      <c r="J4" s="11" t="s">
        <v>478</v>
      </c>
      <c r="K4" s="11" t="s">
        <v>479</v>
      </c>
      <c r="L4" s="11" t="s">
        <v>480</v>
      </c>
      <c r="M4" s="11" t="s">
        <v>481</v>
      </c>
      <c r="N4" s="11" t="s">
        <v>482</v>
      </c>
      <c r="O4" s="11" t="s">
        <v>483</v>
      </c>
      <c r="P4" s="11" t="s">
        <v>484</v>
      </c>
      <c r="Q4" s="11" t="s">
        <v>485</v>
      </c>
    </row>
    <row r="5" spans="1:17" s="224" customFormat="1" ht="13.15" customHeight="1">
      <c r="A5" s="12">
        <f t="shared" ref="A5:A28" si="0">+A6-1</f>
        <v>1994</v>
      </c>
      <c r="B5" s="415" t="s">
        <v>34</v>
      </c>
      <c r="C5" s="415" t="s">
        <v>34</v>
      </c>
      <c r="D5" s="415" t="s">
        <v>34</v>
      </c>
      <c r="E5" s="415" t="s">
        <v>34</v>
      </c>
      <c r="F5" s="415" t="s">
        <v>34</v>
      </c>
      <c r="G5" s="415" t="s">
        <v>34</v>
      </c>
      <c r="H5" s="415" t="s">
        <v>34</v>
      </c>
      <c r="I5" s="415" t="s">
        <v>34</v>
      </c>
      <c r="J5" s="415" t="s">
        <v>34</v>
      </c>
      <c r="K5" s="415" t="s">
        <v>34</v>
      </c>
      <c r="L5" s="415">
        <v>1.0169999999999999</v>
      </c>
      <c r="M5" s="415">
        <v>1.0129999999999999</v>
      </c>
      <c r="N5" s="415">
        <v>1.006</v>
      </c>
      <c r="O5" s="415">
        <v>1.008</v>
      </c>
      <c r="P5" s="415">
        <v>1.0209999999999999</v>
      </c>
      <c r="Q5" s="415">
        <v>1.0109999999999999</v>
      </c>
    </row>
    <row r="6" spans="1:17" ht="13.15" customHeight="1">
      <c r="A6" s="12">
        <f t="shared" si="0"/>
        <v>1995</v>
      </c>
      <c r="B6" s="415" t="s">
        <v>34</v>
      </c>
      <c r="C6" s="415" t="s">
        <v>34</v>
      </c>
      <c r="D6" s="415" t="s">
        <v>34</v>
      </c>
      <c r="E6" s="415" t="s">
        <v>34</v>
      </c>
      <c r="F6" s="415" t="s">
        <v>34</v>
      </c>
      <c r="G6" s="415" t="s">
        <v>34</v>
      </c>
      <c r="H6" s="415" t="s">
        <v>34</v>
      </c>
      <c r="I6" s="415" t="s">
        <v>34</v>
      </c>
      <c r="J6" s="415" t="s">
        <v>34</v>
      </c>
      <c r="K6" s="415">
        <v>1.0189999999999999</v>
      </c>
      <c r="L6" s="415">
        <v>1.0109999999999999</v>
      </c>
      <c r="M6" s="415">
        <v>1.02</v>
      </c>
      <c r="N6" s="415">
        <v>1.0269999999999999</v>
      </c>
      <c r="O6" s="415">
        <v>1.016</v>
      </c>
      <c r="P6" s="415">
        <v>1.0049999999999999</v>
      </c>
      <c r="Q6" s="415">
        <v>1.01</v>
      </c>
    </row>
    <row r="7" spans="1:17" ht="13.15" customHeight="1">
      <c r="A7" s="12">
        <f t="shared" si="0"/>
        <v>1996</v>
      </c>
      <c r="B7" s="415" t="s">
        <v>34</v>
      </c>
      <c r="C7" s="415" t="s">
        <v>34</v>
      </c>
      <c r="D7" s="415" t="s">
        <v>34</v>
      </c>
      <c r="E7" s="415" t="s">
        <v>34</v>
      </c>
      <c r="F7" s="415" t="s">
        <v>34</v>
      </c>
      <c r="G7" s="415" t="s">
        <v>34</v>
      </c>
      <c r="H7" s="415" t="s">
        <v>34</v>
      </c>
      <c r="I7" s="415" t="s">
        <v>34</v>
      </c>
      <c r="J7" s="415">
        <v>1.0129999999999999</v>
      </c>
      <c r="K7" s="415">
        <v>1.0209999999999999</v>
      </c>
      <c r="L7" s="415">
        <v>1.0169999999999999</v>
      </c>
      <c r="M7" s="415">
        <v>1.02</v>
      </c>
      <c r="N7" s="415">
        <v>1.0149999999999999</v>
      </c>
      <c r="O7" s="415">
        <v>1.0129999999999999</v>
      </c>
      <c r="P7" s="415">
        <v>1.012</v>
      </c>
      <c r="Q7" s="415">
        <v>1.008</v>
      </c>
    </row>
    <row r="8" spans="1:17" ht="13.15" customHeight="1">
      <c r="A8" s="12">
        <f t="shared" si="0"/>
        <v>1997</v>
      </c>
      <c r="B8" s="415" t="s">
        <v>34</v>
      </c>
      <c r="C8" s="415" t="s">
        <v>34</v>
      </c>
      <c r="D8" s="415" t="s">
        <v>34</v>
      </c>
      <c r="E8" s="415" t="s">
        <v>34</v>
      </c>
      <c r="F8" s="415" t="s">
        <v>34</v>
      </c>
      <c r="G8" s="415" t="s">
        <v>34</v>
      </c>
      <c r="H8" s="415" t="s">
        <v>34</v>
      </c>
      <c r="I8" s="415">
        <v>1.018</v>
      </c>
      <c r="J8" s="415">
        <v>1.0149999999999999</v>
      </c>
      <c r="K8" s="415">
        <v>1.024</v>
      </c>
      <c r="L8" s="415">
        <v>1.0229999999999999</v>
      </c>
      <c r="M8" s="415">
        <v>1.018</v>
      </c>
      <c r="N8" s="415">
        <v>1.0089999999999999</v>
      </c>
      <c r="O8" s="415">
        <v>1.01</v>
      </c>
      <c r="P8" s="415">
        <v>1.0049999999999999</v>
      </c>
      <c r="Q8" s="415">
        <v>1.004</v>
      </c>
    </row>
    <row r="9" spans="1:17" ht="13.15" customHeight="1">
      <c r="A9" s="12">
        <f t="shared" si="0"/>
        <v>1998</v>
      </c>
      <c r="B9" s="415" t="s">
        <v>34</v>
      </c>
      <c r="C9" s="415" t="s">
        <v>34</v>
      </c>
      <c r="D9" s="415" t="s">
        <v>34</v>
      </c>
      <c r="E9" s="415" t="s">
        <v>34</v>
      </c>
      <c r="F9" s="415" t="s">
        <v>34</v>
      </c>
      <c r="G9" s="415" t="s">
        <v>34</v>
      </c>
      <c r="H9" s="415">
        <v>1.022</v>
      </c>
      <c r="I9" s="415">
        <v>1.022</v>
      </c>
      <c r="J9" s="415">
        <v>1.0349999999999999</v>
      </c>
      <c r="K9" s="415">
        <v>1.0209999999999999</v>
      </c>
      <c r="L9" s="415">
        <v>1.02</v>
      </c>
      <c r="M9" s="415">
        <v>1.01</v>
      </c>
      <c r="N9" s="415">
        <v>1.01</v>
      </c>
      <c r="O9" s="415">
        <v>1.0129999999999999</v>
      </c>
      <c r="P9" s="415">
        <v>1.0069999999999999</v>
      </c>
      <c r="Q9" s="415">
        <v>1.012</v>
      </c>
    </row>
    <row r="10" spans="1:17" ht="13.15" customHeight="1">
      <c r="A10" s="12">
        <f t="shared" si="0"/>
        <v>1999</v>
      </c>
      <c r="B10" s="415" t="s">
        <v>34</v>
      </c>
      <c r="C10" s="415" t="s">
        <v>34</v>
      </c>
      <c r="D10" s="415" t="s">
        <v>34</v>
      </c>
      <c r="E10" s="415" t="s">
        <v>34</v>
      </c>
      <c r="F10" s="415" t="s">
        <v>34</v>
      </c>
      <c r="G10" s="415">
        <v>1.032</v>
      </c>
      <c r="H10" s="415">
        <v>1.0249999999999999</v>
      </c>
      <c r="I10" s="415">
        <v>1.0349999999999999</v>
      </c>
      <c r="J10" s="415">
        <v>1.028</v>
      </c>
      <c r="K10" s="415">
        <v>1.018</v>
      </c>
      <c r="L10" s="415">
        <v>1.0169999999999999</v>
      </c>
      <c r="M10" s="415">
        <v>1.014</v>
      </c>
      <c r="N10" s="415">
        <v>1.0089999999999999</v>
      </c>
      <c r="O10" s="415">
        <v>1.012</v>
      </c>
      <c r="P10" s="415">
        <v>1.0029999999999999</v>
      </c>
      <c r="Q10" s="415">
        <v>1</v>
      </c>
    </row>
    <row r="11" spans="1:17" ht="13.15" customHeight="1">
      <c r="A11" s="12">
        <f t="shared" si="0"/>
        <v>2000</v>
      </c>
      <c r="B11" s="415" t="s">
        <v>34</v>
      </c>
      <c r="C11" s="415" t="s">
        <v>34</v>
      </c>
      <c r="D11" s="415" t="s">
        <v>34</v>
      </c>
      <c r="E11" s="415" t="s">
        <v>34</v>
      </c>
      <c r="F11" s="415">
        <v>1.03</v>
      </c>
      <c r="G11" s="415">
        <v>1.0309999999999999</v>
      </c>
      <c r="H11" s="415">
        <v>1.0409999999999999</v>
      </c>
      <c r="I11" s="415">
        <v>1.022</v>
      </c>
      <c r="J11" s="415">
        <v>1.0189999999999999</v>
      </c>
      <c r="K11" s="415">
        <v>1.022</v>
      </c>
      <c r="L11" s="415">
        <v>1.016</v>
      </c>
      <c r="M11" s="415">
        <v>1.0169999999999999</v>
      </c>
      <c r="N11" s="415">
        <v>1.012</v>
      </c>
      <c r="O11" s="415">
        <v>1.0049999999999999</v>
      </c>
      <c r="P11" s="415">
        <v>0.998</v>
      </c>
      <c r="Q11" s="415">
        <v>0.995</v>
      </c>
    </row>
    <row r="12" spans="1:17" ht="13.15" customHeight="1">
      <c r="A12" s="12">
        <f t="shared" si="0"/>
        <v>2001</v>
      </c>
      <c r="B12" s="415" t="s">
        <v>34</v>
      </c>
      <c r="C12" s="415" t="s">
        <v>34</v>
      </c>
      <c r="D12" s="415" t="s">
        <v>34</v>
      </c>
      <c r="E12" s="415">
        <v>1.0449999999999999</v>
      </c>
      <c r="F12" s="415">
        <v>1.038</v>
      </c>
      <c r="G12" s="415">
        <v>1.0449999999999999</v>
      </c>
      <c r="H12" s="415">
        <v>1.0389999999999999</v>
      </c>
      <c r="I12" s="415">
        <v>1.0349999999999999</v>
      </c>
      <c r="J12" s="415">
        <v>1.03</v>
      </c>
      <c r="K12" s="415">
        <v>1.02</v>
      </c>
      <c r="L12" s="415">
        <v>1.018</v>
      </c>
      <c r="M12" s="415">
        <v>1.018</v>
      </c>
      <c r="N12" s="415">
        <v>1.006</v>
      </c>
      <c r="O12" s="415">
        <v>0.998</v>
      </c>
      <c r="P12" s="415">
        <v>0.999</v>
      </c>
      <c r="Q12" s="415">
        <v>0.996</v>
      </c>
    </row>
    <row r="13" spans="1:17" ht="13.15" customHeight="1">
      <c r="A13" s="12">
        <f t="shared" si="0"/>
        <v>2002</v>
      </c>
      <c r="B13" s="415" t="s">
        <v>34</v>
      </c>
      <c r="C13" s="415" t="s">
        <v>34</v>
      </c>
      <c r="D13" s="415">
        <v>1.05</v>
      </c>
      <c r="E13" s="415">
        <v>1.0389999999999999</v>
      </c>
      <c r="F13" s="415">
        <v>1.056</v>
      </c>
      <c r="G13" s="415">
        <v>1.038</v>
      </c>
      <c r="H13" s="415">
        <v>1.034</v>
      </c>
      <c r="I13" s="415">
        <v>1.028</v>
      </c>
      <c r="J13" s="415">
        <v>1.0269999999999999</v>
      </c>
      <c r="K13" s="415">
        <v>1.02</v>
      </c>
      <c r="L13" s="415">
        <v>1.0129999999999999</v>
      </c>
      <c r="M13" s="415">
        <v>1.0069999999999999</v>
      </c>
      <c r="N13" s="415">
        <v>0.998</v>
      </c>
      <c r="O13" s="415">
        <v>0.999</v>
      </c>
      <c r="P13" s="415">
        <v>0.999</v>
      </c>
      <c r="Q13" s="415">
        <v>0.999</v>
      </c>
    </row>
    <row r="14" spans="1:17" ht="13.15" customHeight="1">
      <c r="A14" s="12">
        <f t="shared" si="0"/>
        <v>2003</v>
      </c>
      <c r="B14" s="415" t="s">
        <v>34</v>
      </c>
      <c r="C14" s="415">
        <v>1.087</v>
      </c>
      <c r="D14" s="415">
        <v>1.06</v>
      </c>
      <c r="E14" s="415">
        <v>1.06</v>
      </c>
      <c r="F14" s="415">
        <v>1.0509999999999999</v>
      </c>
      <c r="G14" s="415">
        <v>1.0429999999999999</v>
      </c>
      <c r="H14" s="415">
        <v>1.04</v>
      </c>
      <c r="I14" s="415">
        <v>1.036</v>
      </c>
      <c r="J14" s="415">
        <v>1.0249999999999999</v>
      </c>
      <c r="K14" s="415">
        <v>1.0189999999999999</v>
      </c>
      <c r="L14" s="415">
        <v>1.0089999999999999</v>
      </c>
      <c r="M14" s="415">
        <v>1.0009999999999999</v>
      </c>
      <c r="N14" s="415">
        <v>0.999</v>
      </c>
      <c r="O14" s="415">
        <v>1</v>
      </c>
      <c r="P14" s="415">
        <v>1.0009999999999999</v>
      </c>
      <c r="Q14" s="415">
        <v>1.0069999999999999</v>
      </c>
    </row>
    <row r="15" spans="1:17" ht="13.15" customHeight="1">
      <c r="A15" s="12">
        <f t="shared" si="0"/>
        <v>2004</v>
      </c>
      <c r="B15" s="415">
        <v>1.2350000000000001</v>
      </c>
      <c r="C15" s="415">
        <v>1.1299999999999999</v>
      </c>
      <c r="D15" s="415">
        <v>1.0940000000000001</v>
      </c>
      <c r="E15" s="415">
        <v>1.0780000000000001</v>
      </c>
      <c r="F15" s="415">
        <v>1.056</v>
      </c>
      <c r="G15" s="415">
        <v>1.0620000000000001</v>
      </c>
      <c r="H15" s="415">
        <v>1.038</v>
      </c>
      <c r="I15" s="415">
        <v>1.032</v>
      </c>
      <c r="J15" s="415">
        <v>1.026</v>
      </c>
      <c r="K15" s="415">
        <v>1.008</v>
      </c>
      <c r="L15" s="415">
        <v>1.004</v>
      </c>
      <c r="M15" s="415">
        <v>0.999</v>
      </c>
      <c r="N15" s="415">
        <v>0.998</v>
      </c>
      <c r="O15" s="415">
        <v>0.999</v>
      </c>
      <c r="P15" s="415">
        <v>1.002</v>
      </c>
      <c r="Q15" s="415" t="s">
        <v>34</v>
      </c>
    </row>
    <row r="16" spans="1:17" ht="13.15" customHeight="1">
      <c r="A16" s="12">
        <f t="shared" si="0"/>
        <v>2005</v>
      </c>
      <c r="B16" s="415">
        <v>1.2749999999999999</v>
      </c>
      <c r="C16" s="415">
        <v>1.141</v>
      </c>
      <c r="D16" s="415">
        <v>1.077</v>
      </c>
      <c r="E16" s="415">
        <v>1.08</v>
      </c>
      <c r="F16" s="415">
        <v>1.0740000000000001</v>
      </c>
      <c r="G16" s="415">
        <v>1.0569999999999999</v>
      </c>
      <c r="H16" s="415">
        <v>1.04</v>
      </c>
      <c r="I16" s="415">
        <v>1.0269999999999999</v>
      </c>
      <c r="J16" s="415">
        <v>1.018</v>
      </c>
      <c r="K16" s="415">
        <v>1.0049999999999999</v>
      </c>
      <c r="L16" s="415">
        <v>1.0029999999999999</v>
      </c>
      <c r="M16" s="415">
        <v>1.0029999999999999</v>
      </c>
      <c r="N16" s="415">
        <v>0.998</v>
      </c>
      <c r="O16" s="415">
        <v>1.0009999999999999</v>
      </c>
      <c r="P16" s="415" t="s">
        <v>34</v>
      </c>
      <c r="Q16" s="415" t="s">
        <v>34</v>
      </c>
    </row>
    <row r="17" spans="1:17" ht="13.15" customHeight="1">
      <c r="A17" s="12">
        <f t="shared" si="0"/>
        <v>2006</v>
      </c>
      <c r="B17" s="415">
        <v>1.333</v>
      </c>
      <c r="C17" s="415">
        <v>1.1639999999999999</v>
      </c>
      <c r="D17" s="415">
        <v>1.095</v>
      </c>
      <c r="E17" s="415">
        <v>1.0760000000000001</v>
      </c>
      <c r="F17" s="415">
        <v>1.0609999999999999</v>
      </c>
      <c r="G17" s="415">
        <v>1.0489999999999999</v>
      </c>
      <c r="H17" s="415">
        <v>1.0369999999999999</v>
      </c>
      <c r="I17" s="415">
        <v>1.018</v>
      </c>
      <c r="J17" s="415">
        <v>1.0069999999999999</v>
      </c>
      <c r="K17" s="415">
        <v>1.0029999999999999</v>
      </c>
      <c r="L17" s="415">
        <v>1.002</v>
      </c>
      <c r="M17" s="415">
        <v>1.0029999999999999</v>
      </c>
      <c r="N17" s="415">
        <v>1</v>
      </c>
      <c r="O17" s="415" t="s">
        <v>34</v>
      </c>
      <c r="P17" s="415" t="s">
        <v>34</v>
      </c>
      <c r="Q17" s="415" t="s">
        <v>34</v>
      </c>
    </row>
    <row r="18" spans="1:17" ht="13.15" customHeight="1">
      <c r="A18" s="12">
        <f t="shared" si="0"/>
        <v>2007</v>
      </c>
      <c r="B18" s="415">
        <v>1.357</v>
      </c>
      <c r="C18" s="415">
        <v>1.171</v>
      </c>
      <c r="D18" s="415">
        <v>1.1140000000000001</v>
      </c>
      <c r="E18" s="415">
        <v>1.0780000000000001</v>
      </c>
      <c r="F18" s="415">
        <v>1.069</v>
      </c>
      <c r="G18" s="415">
        <v>1.0409999999999999</v>
      </c>
      <c r="H18" s="415">
        <v>1.028</v>
      </c>
      <c r="I18" s="415">
        <v>1.0149999999999999</v>
      </c>
      <c r="J18" s="415">
        <v>1.0049999999999999</v>
      </c>
      <c r="K18" s="415">
        <v>1.004</v>
      </c>
      <c r="L18" s="415">
        <v>1.0029999999999999</v>
      </c>
      <c r="M18" s="415">
        <v>1.0029999999999999</v>
      </c>
      <c r="N18" s="415" t="s">
        <v>34</v>
      </c>
      <c r="O18" s="415" t="s">
        <v>34</v>
      </c>
      <c r="P18" s="415" t="s">
        <v>34</v>
      </c>
      <c r="Q18" s="415" t="s">
        <v>34</v>
      </c>
    </row>
    <row r="19" spans="1:17" ht="13.15" customHeight="1">
      <c r="A19" s="12">
        <f t="shared" si="0"/>
        <v>2008</v>
      </c>
      <c r="B19" s="415">
        <v>1.3779999999999999</v>
      </c>
      <c r="C19" s="415">
        <v>1.1890000000000001</v>
      </c>
      <c r="D19" s="415">
        <v>1.1160000000000001</v>
      </c>
      <c r="E19" s="415">
        <v>1.087</v>
      </c>
      <c r="F19" s="415">
        <v>1.0580000000000001</v>
      </c>
      <c r="G19" s="415">
        <v>1.0349999999999999</v>
      </c>
      <c r="H19" s="415">
        <v>1.02</v>
      </c>
      <c r="I19" s="415">
        <v>1.0089999999999999</v>
      </c>
      <c r="J19" s="415">
        <v>1.004</v>
      </c>
      <c r="K19" s="415">
        <v>1.002</v>
      </c>
      <c r="L19" s="415">
        <v>1.004</v>
      </c>
      <c r="M19" s="415" t="s">
        <v>34</v>
      </c>
      <c r="N19" s="415" t="s">
        <v>34</v>
      </c>
      <c r="O19" s="415" t="s">
        <v>34</v>
      </c>
      <c r="P19" s="415" t="s">
        <v>34</v>
      </c>
      <c r="Q19" s="415" t="s">
        <v>34</v>
      </c>
    </row>
    <row r="20" spans="1:17" ht="13.15" customHeight="1">
      <c r="A20" s="12">
        <f t="shared" si="0"/>
        <v>2009</v>
      </c>
      <c r="B20" s="415">
        <v>1.431</v>
      </c>
      <c r="C20" s="415">
        <v>1.1819999999999999</v>
      </c>
      <c r="D20" s="415">
        <v>1.133</v>
      </c>
      <c r="E20" s="415">
        <v>1.08</v>
      </c>
      <c r="F20" s="415">
        <v>1.0489999999999999</v>
      </c>
      <c r="G20" s="415">
        <v>1.0249999999999999</v>
      </c>
      <c r="H20" s="415">
        <v>1.014</v>
      </c>
      <c r="I20" s="415">
        <v>1.0069999999999999</v>
      </c>
      <c r="J20" s="415">
        <v>1.004</v>
      </c>
      <c r="K20" s="415">
        <v>1.0089999999999999</v>
      </c>
      <c r="L20" s="415" t="s">
        <v>34</v>
      </c>
      <c r="M20" s="415" t="s">
        <v>34</v>
      </c>
      <c r="N20" s="415" t="s">
        <v>34</v>
      </c>
      <c r="O20" s="415" t="s">
        <v>34</v>
      </c>
      <c r="P20" s="415" t="s">
        <v>34</v>
      </c>
      <c r="Q20" s="415" t="s">
        <v>34</v>
      </c>
    </row>
    <row r="21" spans="1:17" ht="13.15" customHeight="1">
      <c r="A21" s="12">
        <f t="shared" si="0"/>
        <v>2010</v>
      </c>
      <c r="B21" s="415">
        <v>1.431</v>
      </c>
      <c r="C21" s="415">
        <v>1.212</v>
      </c>
      <c r="D21" s="415">
        <v>1.117</v>
      </c>
      <c r="E21" s="415">
        <v>1.0680000000000001</v>
      </c>
      <c r="F21" s="415">
        <v>1.036</v>
      </c>
      <c r="G21" s="415">
        <v>1.0229999999999999</v>
      </c>
      <c r="H21" s="415">
        <v>1.0109999999999999</v>
      </c>
      <c r="I21" s="415">
        <v>1.0109999999999999</v>
      </c>
      <c r="J21" s="415">
        <v>1.0049999999999999</v>
      </c>
      <c r="K21" s="415" t="s">
        <v>34</v>
      </c>
      <c r="L21" s="415" t="s">
        <v>34</v>
      </c>
      <c r="M21" s="415" t="s">
        <v>34</v>
      </c>
      <c r="N21" s="415" t="s">
        <v>34</v>
      </c>
      <c r="O21" s="415" t="s">
        <v>34</v>
      </c>
      <c r="P21" s="415" t="s">
        <v>34</v>
      </c>
      <c r="Q21" s="415" t="s">
        <v>34</v>
      </c>
    </row>
    <row r="22" spans="1:17" ht="13.15" customHeight="1">
      <c r="A22" s="12">
        <f t="shared" si="0"/>
        <v>2011</v>
      </c>
      <c r="B22" s="415">
        <v>1.452</v>
      </c>
      <c r="C22" s="415">
        <v>1.1850000000000001</v>
      </c>
      <c r="D22" s="415">
        <v>1.103</v>
      </c>
      <c r="E22" s="415">
        <v>1.0589999999999999</v>
      </c>
      <c r="F22" s="415">
        <v>1.026</v>
      </c>
      <c r="G22" s="415">
        <v>1.016</v>
      </c>
      <c r="H22" s="415">
        <v>1.0109999999999999</v>
      </c>
      <c r="I22" s="415">
        <v>1.0089999999999999</v>
      </c>
      <c r="J22" s="415" t="s">
        <v>34</v>
      </c>
      <c r="K22" s="415" t="s">
        <v>34</v>
      </c>
      <c r="L22" s="415" t="s">
        <v>34</v>
      </c>
      <c r="M22" s="415" t="s">
        <v>34</v>
      </c>
      <c r="N22" s="415" t="s">
        <v>34</v>
      </c>
      <c r="O22" s="415" t="s">
        <v>34</v>
      </c>
      <c r="P22" s="415" t="s">
        <v>34</v>
      </c>
      <c r="Q22" s="415" t="s">
        <v>34</v>
      </c>
    </row>
    <row r="23" spans="1:17" ht="13.15" customHeight="1">
      <c r="A23" s="12">
        <f t="shared" si="0"/>
        <v>2012</v>
      </c>
      <c r="B23" s="415">
        <v>1.391</v>
      </c>
      <c r="C23" s="415">
        <v>1.153</v>
      </c>
      <c r="D23" s="415">
        <v>1.0780000000000001</v>
      </c>
      <c r="E23" s="415">
        <v>1.0509999999999999</v>
      </c>
      <c r="F23" s="415">
        <v>1.0249999999999999</v>
      </c>
      <c r="G23" s="415">
        <v>1.014</v>
      </c>
      <c r="H23" s="415">
        <v>1.0149999999999999</v>
      </c>
      <c r="I23" s="415" t="s">
        <v>34</v>
      </c>
      <c r="J23" s="415" t="s">
        <v>34</v>
      </c>
      <c r="K23" s="415" t="s">
        <v>34</v>
      </c>
      <c r="L23" s="415" t="s">
        <v>34</v>
      </c>
      <c r="M23" s="415" t="s">
        <v>34</v>
      </c>
      <c r="N23" s="415" t="s">
        <v>34</v>
      </c>
      <c r="O23" s="415" t="s">
        <v>34</v>
      </c>
      <c r="P23" s="415" t="s">
        <v>34</v>
      </c>
      <c r="Q23" s="415" t="s">
        <v>34</v>
      </c>
    </row>
    <row r="24" spans="1:17" ht="13.15" customHeight="1">
      <c r="A24" s="12">
        <f t="shared" si="0"/>
        <v>2013</v>
      </c>
      <c r="B24" s="415">
        <v>1.353</v>
      </c>
      <c r="C24" s="415">
        <v>1.119</v>
      </c>
      <c r="D24" s="415">
        <v>1.077</v>
      </c>
      <c r="E24" s="415">
        <v>1.0309999999999999</v>
      </c>
      <c r="F24" s="415">
        <v>1.0229999999999999</v>
      </c>
      <c r="G24" s="415">
        <v>1.01</v>
      </c>
      <c r="H24" s="415" t="s">
        <v>34</v>
      </c>
      <c r="I24" s="415" t="s">
        <v>34</v>
      </c>
      <c r="J24" s="415" t="s">
        <v>34</v>
      </c>
      <c r="K24" s="415" t="s">
        <v>34</v>
      </c>
      <c r="L24" s="415" t="s">
        <v>34</v>
      </c>
      <c r="M24" s="415" t="s">
        <v>34</v>
      </c>
      <c r="N24" s="415" t="s">
        <v>34</v>
      </c>
      <c r="O24" s="415" t="s">
        <v>34</v>
      </c>
      <c r="P24" s="415" t="s">
        <v>34</v>
      </c>
      <c r="Q24" s="415" t="s">
        <v>34</v>
      </c>
    </row>
    <row r="25" spans="1:17" ht="13.15" customHeight="1">
      <c r="A25" s="12">
        <f t="shared" si="0"/>
        <v>2014</v>
      </c>
      <c r="B25" s="415">
        <v>1.325</v>
      </c>
      <c r="C25" s="415">
        <v>1.135</v>
      </c>
      <c r="D25" s="415">
        <v>1.0640000000000001</v>
      </c>
      <c r="E25" s="415">
        <v>1.0329999999999999</v>
      </c>
      <c r="F25" s="415">
        <v>1.022</v>
      </c>
      <c r="G25" s="415" t="s">
        <v>34</v>
      </c>
      <c r="H25" s="415" t="s">
        <v>34</v>
      </c>
      <c r="I25" s="415" t="s">
        <v>34</v>
      </c>
      <c r="J25" s="415" t="s">
        <v>34</v>
      </c>
      <c r="K25" s="415" t="s">
        <v>34</v>
      </c>
      <c r="L25" s="415" t="s">
        <v>34</v>
      </c>
      <c r="M25" s="415" t="s">
        <v>34</v>
      </c>
      <c r="N25" s="415" t="s">
        <v>34</v>
      </c>
      <c r="O25" s="415" t="s">
        <v>34</v>
      </c>
      <c r="P25" s="415" t="s">
        <v>34</v>
      </c>
      <c r="Q25" s="415" t="s">
        <v>34</v>
      </c>
    </row>
    <row r="26" spans="1:17" ht="13.15" customHeight="1">
      <c r="A26" s="12">
        <f t="shared" si="0"/>
        <v>2015</v>
      </c>
      <c r="B26" s="415">
        <v>1.3129999999999999</v>
      </c>
      <c r="C26" s="415">
        <v>1.117</v>
      </c>
      <c r="D26" s="415">
        <v>1.05</v>
      </c>
      <c r="E26" s="415">
        <v>1.0269999999999999</v>
      </c>
      <c r="F26" s="415" t="s">
        <v>34</v>
      </c>
      <c r="G26" s="415" t="s">
        <v>34</v>
      </c>
      <c r="H26" s="415" t="s">
        <v>34</v>
      </c>
      <c r="I26" s="415" t="s">
        <v>34</v>
      </c>
      <c r="J26" s="415" t="s">
        <v>34</v>
      </c>
      <c r="K26" s="415" t="s">
        <v>34</v>
      </c>
      <c r="L26" s="415" t="s">
        <v>34</v>
      </c>
      <c r="M26" s="415" t="s">
        <v>34</v>
      </c>
      <c r="N26" s="415" t="s">
        <v>34</v>
      </c>
      <c r="O26" s="415" t="s">
        <v>34</v>
      </c>
      <c r="P26" s="415" t="s">
        <v>34</v>
      </c>
      <c r="Q26" s="415" t="s">
        <v>34</v>
      </c>
    </row>
    <row r="27" spans="1:17" ht="13.15" customHeight="1">
      <c r="A27" s="12">
        <f t="shared" si="0"/>
        <v>2016</v>
      </c>
      <c r="B27" s="415">
        <v>1.2869999999999999</v>
      </c>
      <c r="C27" s="415">
        <v>1.093</v>
      </c>
      <c r="D27" s="415">
        <v>1.042</v>
      </c>
      <c r="E27" s="415" t="s">
        <v>34</v>
      </c>
      <c r="F27" s="415" t="s">
        <v>34</v>
      </c>
      <c r="G27" s="415" t="s">
        <v>34</v>
      </c>
      <c r="H27" s="415" t="s">
        <v>34</v>
      </c>
      <c r="I27" s="415" t="s">
        <v>34</v>
      </c>
      <c r="J27" s="415" t="s">
        <v>34</v>
      </c>
      <c r="K27" s="415" t="s">
        <v>34</v>
      </c>
      <c r="L27" s="415" t="s">
        <v>34</v>
      </c>
      <c r="M27" s="415" t="s">
        <v>34</v>
      </c>
      <c r="N27" s="415" t="s">
        <v>34</v>
      </c>
      <c r="O27" s="415" t="s">
        <v>34</v>
      </c>
      <c r="P27" s="415" t="s">
        <v>34</v>
      </c>
      <c r="Q27" s="415" t="s">
        <v>34</v>
      </c>
    </row>
    <row r="28" spans="1:17" ht="13.15" customHeight="1">
      <c r="A28" s="12">
        <f t="shared" si="0"/>
        <v>2017</v>
      </c>
      <c r="B28" s="415">
        <v>1.26</v>
      </c>
      <c r="C28" s="415">
        <v>1.0980000000000001</v>
      </c>
      <c r="D28" s="415" t="s">
        <v>34</v>
      </c>
      <c r="E28" s="415" t="s">
        <v>34</v>
      </c>
      <c r="F28" s="415" t="s">
        <v>34</v>
      </c>
      <c r="G28" s="415" t="s">
        <v>34</v>
      </c>
      <c r="H28" s="415" t="s">
        <v>34</v>
      </c>
      <c r="I28" s="415" t="s">
        <v>34</v>
      </c>
      <c r="J28" s="415" t="s">
        <v>34</v>
      </c>
      <c r="K28" s="415" t="s">
        <v>34</v>
      </c>
      <c r="L28" s="415" t="s">
        <v>34</v>
      </c>
      <c r="M28" s="415" t="s">
        <v>34</v>
      </c>
      <c r="N28" s="415" t="s">
        <v>34</v>
      </c>
      <c r="O28" s="415" t="s">
        <v>34</v>
      </c>
      <c r="P28" s="415" t="s">
        <v>34</v>
      </c>
      <c r="Q28" s="415" t="s">
        <v>34</v>
      </c>
    </row>
    <row r="29" spans="1:17" ht="13.15" customHeight="1">
      <c r="A29" s="12">
        <f>'Exhibit 2.1.1'!A29</f>
        <v>2018</v>
      </c>
      <c r="B29" s="415">
        <v>1.2529999999999999</v>
      </c>
      <c r="C29" s="415" t="s">
        <v>34</v>
      </c>
      <c r="D29" s="415" t="s">
        <v>34</v>
      </c>
      <c r="E29" s="415" t="s">
        <v>34</v>
      </c>
      <c r="F29" s="415" t="s">
        <v>34</v>
      </c>
      <c r="G29" s="415" t="s">
        <v>34</v>
      </c>
      <c r="H29" s="415" t="s">
        <v>34</v>
      </c>
      <c r="I29" s="415" t="s">
        <v>34</v>
      </c>
      <c r="J29" s="415" t="s">
        <v>34</v>
      </c>
      <c r="K29" s="415" t="s">
        <v>34</v>
      </c>
      <c r="L29" s="415" t="s">
        <v>34</v>
      </c>
      <c r="M29" s="415" t="s">
        <v>34</v>
      </c>
      <c r="N29" s="415" t="s">
        <v>34</v>
      </c>
      <c r="O29" s="415" t="s">
        <v>34</v>
      </c>
      <c r="P29" s="415" t="s">
        <v>34</v>
      </c>
      <c r="Q29" s="415" t="s">
        <v>34</v>
      </c>
    </row>
    <row r="30" spans="1:17" ht="13.15" customHeight="1">
      <c r="A30" s="12"/>
      <c r="B30" s="13"/>
      <c r="C30" s="13"/>
      <c r="D30" s="13"/>
      <c r="E30" s="13"/>
      <c r="F30" s="13"/>
      <c r="G30" s="13"/>
      <c r="H30" s="13"/>
      <c r="I30" s="13"/>
      <c r="J30" s="13"/>
      <c r="K30" s="13"/>
      <c r="L30" s="13"/>
      <c r="M30" s="13"/>
      <c r="N30" s="13"/>
      <c r="O30" s="13"/>
      <c r="P30" s="13"/>
      <c r="Q30" s="13"/>
    </row>
    <row r="31" spans="1:17" ht="13.15" customHeight="1">
      <c r="A31" s="12" t="s">
        <v>20</v>
      </c>
      <c r="B31" s="431">
        <f>+ROUND(B29,3)</f>
        <v>1.2529999999999999</v>
      </c>
      <c r="C31" s="431">
        <f>+ROUND(C28,3)</f>
        <v>1.0980000000000001</v>
      </c>
      <c r="D31" s="431">
        <f>ROUND(D27,3)</f>
        <v>1.042</v>
      </c>
      <c r="E31" s="431">
        <f>ROUND(E26,3)</f>
        <v>1.0269999999999999</v>
      </c>
      <c r="F31" s="431">
        <f>ROUND(F25,3)</f>
        <v>1.022</v>
      </c>
      <c r="G31" s="431">
        <f>ROUND(G24,3)</f>
        <v>1.01</v>
      </c>
      <c r="H31" s="431">
        <f>ROUND(H23,3)</f>
        <v>1.0149999999999999</v>
      </c>
      <c r="I31" s="431">
        <f>ROUND(I22,3)</f>
        <v>1.0089999999999999</v>
      </c>
      <c r="J31" s="431">
        <f>AVERAGE(J16:J21)</f>
        <v>1.0071666666666668</v>
      </c>
      <c r="K31" s="431">
        <f>AVERAGE(K15:K20)</f>
        <v>1.0051666666666665</v>
      </c>
      <c r="L31" s="431">
        <f>AVERAGE(L14:L19)</f>
        <v>1.0041666666666667</v>
      </c>
      <c r="M31" s="431">
        <f>AVERAGE(M13:M18)</f>
        <v>1.0026666666666666</v>
      </c>
      <c r="N31" s="431">
        <f>AVERAGE(N12:N17)</f>
        <v>0.99983333333333346</v>
      </c>
      <c r="O31" s="431">
        <f>AVERAGE(O11:O16)</f>
        <v>1.0003333333333335</v>
      </c>
      <c r="P31" s="431">
        <f>AVERAGE(P10:P15)</f>
        <v>1.0003333333333333</v>
      </c>
      <c r="Q31" s="431">
        <f>AVERAGE(Q9:Q14)</f>
        <v>1.0014999999999998</v>
      </c>
    </row>
    <row r="32" spans="1:17" ht="13.15" customHeight="1">
      <c r="A32" s="12" t="s">
        <v>21</v>
      </c>
      <c r="B32" s="13">
        <f t="shared" ref="B32:O32" si="1">C32*B31</f>
        <v>1.6246336940096395</v>
      </c>
      <c r="C32" s="13">
        <f t="shared" si="1"/>
        <v>1.2965951269031442</v>
      </c>
      <c r="D32" s="13">
        <f t="shared" si="1"/>
        <v>1.1808698787824627</v>
      </c>
      <c r="E32" s="13">
        <f t="shared" si="1"/>
        <v>1.1332724364514997</v>
      </c>
      <c r="F32" s="13">
        <f t="shared" si="1"/>
        <v>1.1034785165058421</v>
      </c>
      <c r="G32" s="13">
        <f t="shared" si="1"/>
        <v>1.0797245758374188</v>
      </c>
      <c r="H32" s="13">
        <f t="shared" si="1"/>
        <v>1.0690342335023948</v>
      </c>
      <c r="I32" s="13">
        <f t="shared" si="1"/>
        <v>1.0532356980319162</v>
      </c>
      <c r="J32" s="13">
        <f t="shared" si="1"/>
        <v>1.0438411278809874</v>
      </c>
      <c r="K32" s="13">
        <f t="shared" si="1"/>
        <v>1.036413497813325</v>
      </c>
      <c r="L32" s="13">
        <f t="shared" si="1"/>
        <v>1.0310862190150807</v>
      </c>
      <c r="M32" s="13">
        <f t="shared" si="1"/>
        <v>1.0268078529610762</v>
      </c>
      <c r="N32" s="13">
        <f t="shared" si="1"/>
        <v>1.0240769810117119</v>
      </c>
      <c r="O32" s="13">
        <f t="shared" si="1"/>
        <v>1.0242476889598717</v>
      </c>
      <c r="P32" s="13">
        <f>Q32*P31</f>
        <v>1.0239063868309279</v>
      </c>
      <c r="Q32" s="13">
        <f>'Exhibit 2.2.2'!B28*'Exhibit 2.2.1'!Q31</f>
        <v>1.0235651984314509</v>
      </c>
    </row>
    <row r="33" spans="1:16" ht="13.15" customHeight="1">
      <c r="A33" s="121"/>
      <c r="B33" s="121"/>
      <c r="C33" s="121"/>
      <c r="D33" s="121"/>
      <c r="E33" s="121"/>
      <c r="F33" s="121"/>
      <c r="G33" s="121"/>
      <c r="H33" s="121"/>
      <c r="I33" s="121"/>
      <c r="J33" s="121"/>
      <c r="K33" s="121"/>
      <c r="L33" s="121"/>
      <c r="M33" s="121"/>
      <c r="N33" s="121"/>
      <c r="O33" s="121"/>
      <c r="P33" s="121"/>
    </row>
    <row r="34" spans="1:16" ht="13.15" customHeight="1">
      <c r="A34" s="15" t="s">
        <v>22</v>
      </c>
      <c r="B34" s="160" t="s">
        <v>552</v>
      </c>
      <c r="C34" s="157"/>
      <c r="D34" s="157"/>
      <c r="E34" s="157"/>
      <c r="F34" s="157"/>
      <c r="G34" s="157"/>
      <c r="H34" s="157"/>
      <c r="I34" s="157"/>
      <c r="J34" s="157"/>
      <c r="K34" s="157"/>
      <c r="L34" s="157"/>
      <c r="M34" s="157"/>
      <c r="N34" s="157"/>
      <c r="O34" s="157"/>
      <c r="P34" s="157"/>
    </row>
    <row r="35" spans="1:16">
      <c r="A35" s="15" t="s">
        <v>28</v>
      </c>
      <c r="B35" s="158" t="s">
        <v>303</v>
      </c>
      <c r="C35" s="159"/>
      <c r="D35" s="159"/>
      <c r="E35" s="159"/>
      <c r="F35" s="159"/>
      <c r="G35" s="159"/>
      <c r="H35" s="159"/>
      <c r="I35" s="159"/>
      <c r="J35" s="159"/>
      <c r="K35" s="159"/>
      <c r="L35" s="159"/>
      <c r="M35" s="159"/>
      <c r="N35" s="159"/>
      <c r="O35" s="159"/>
      <c r="P35" s="159"/>
    </row>
  </sheetData>
  <pageMargins left="0.7" right="0.7" top="0.75" bottom="0.75" header="0.3" footer="0.3"/>
  <pageSetup scale="88" orientation="landscape" blackAndWhite="1" horizontalDpi="1200" verticalDpi="1200"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30"/>
  <sheetViews>
    <sheetView zoomScaleNormal="100" workbookViewId="0"/>
  </sheetViews>
  <sheetFormatPr defaultColWidth="9.1328125" defaultRowHeight="12.75"/>
  <cols>
    <col min="1" max="1" width="13.1328125" style="110" customWidth="1"/>
    <col min="2" max="19" width="7.73046875" style="110" customWidth="1"/>
    <col min="20" max="20" width="13.1328125" style="112" bestFit="1" customWidth="1"/>
    <col min="21" max="16384" width="9.1328125" style="110"/>
  </cols>
  <sheetData>
    <row r="1" spans="1:20" ht="15" customHeight="1">
      <c r="A1" s="274" t="s">
        <v>29</v>
      </c>
      <c r="B1" s="274"/>
      <c r="C1" s="274"/>
      <c r="D1" s="274"/>
      <c r="E1" s="274"/>
      <c r="F1" s="274"/>
      <c r="G1" s="274"/>
      <c r="H1" s="274"/>
      <c r="I1" s="274"/>
      <c r="J1" s="274"/>
      <c r="K1" s="274"/>
      <c r="L1" s="274"/>
      <c r="M1" s="274"/>
      <c r="N1" s="274"/>
      <c r="O1" s="274"/>
      <c r="P1" s="274"/>
      <c r="Q1" s="274"/>
      <c r="R1" s="274"/>
      <c r="S1" s="274"/>
      <c r="T1" s="175"/>
    </row>
    <row r="2" spans="1:20" ht="13.15">
      <c r="A2" s="246"/>
      <c r="B2" s="246"/>
      <c r="C2" s="246"/>
      <c r="D2" s="246"/>
      <c r="E2" s="246"/>
      <c r="F2" s="246"/>
      <c r="G2" s="246"/>
      <c r="H2" s="246"/>
      <c r="I2" s="246"/>
      <c r="J2" s="246"/>
      <c r="K2" s="246"/>
      <c r="L2" s="246"/>
      <c r="M2" s="246"/>
      <c r="N2" s="246"/>
      <c r="O2" s="246"/>
      <c r="P2" s="246"/>
      <c r="Q2" s="246"/>
      <c r="R2" s="246"/>
      <c r="S2" s="320"/>
    </row>
    <row r="3" spans="1:20">
      <c r="A3" s="251"/>
      <c r="B3" s="276" t="s">
        <v>18</v>
      </c>
      <c r="C3" s="276"/>
      <c r="D3" s="276"/>
      <c r="E3" s="276"/>
      <c r="F3" s="276"/>
      <c r="G3" s="276"/>
      <c r="H3" s="276"/>
      <c r="I3" s="276"/>
      <c r="J3" s="276"/>
      <c r="K3" s="276"/>
      <c r="L3" s="276"/>
      <c r="M3" s="276"/>
      <c r="N3" s="276"/>
      <c r="O3" s="276"/>
      <c r="P3" s="276"/>
      <c r="Q3" s="276"/>
      <c r="R3" s="276"/>
      <c r="S3" s="276"/>
      <c r="T3" s="134"/>
    </row>
    <row r="4" spans="1:20">
      <c r="A4" s="11" t="s">
        <v>19</v>
      </c>
      <c r="B4" s="11" t="s">
        <v>486</v>
      </c>
      <c r="C4" s="11" t="s">
        <v>487</v>
      </c>
      <c r="D4" s="11" t="s">
        <v>488</v>
      </c>
      <c r="E4" s="11" t="s">
        <v>489</v>
      </c>
      <c r="F4" s="11" t="s">
        <v>490</v>
      </c>
      <c r="G4" s="11" t="s">
        <v>491</v>
      </c>
      <c r="H4" s="11" t="s">
        <v>492</v>
      </c>
      <c r="I4" s="11" t="s">
        <v>493</v>
      </c>
      <c r="J4" s="11" t="s">
        <v>494</v>
      </c>
      <c r="K4" s="11" t="s">
        <v>495</v>
      </c>
      <c r="L4" s="11" t="s">
        <v>496</v>
      </c>
      <c r="M4" s="11" t="s">
        <v>497</v>
      </c>
      <c r="N4" s="11" t="s">
        <v>498</v>
      </c>
      <c r="O4" s="11" t="s">
        <v>499</v>
      </c>
      <c r="P4" s="11" t="s">
        <v>500</v>
      </c>
      <c r="Q4" s="11" t="s">
        <v>501</v>
      </c>
      <c r="R4" s="11" t="s">
        <v>502</v>
      </c>
      <c r="S4" s="11" t="s">
        <v>503</v>
      </c>
      <c r="T4" s="11" t="s">
        <v>508</v>
      </c>
    </row>
    <row r="5" spans="1:20">
      <c r="A5" s="12">
        <f t="shared" ref="A5:A23" si="0">+A6-1</f>
        <v>1983</v>
      </c>
      <c r="B5" s="415" t="s">
        <v>34</v>
      </c>
      <c r="C5" s="415" t="s">
        <v>34</v>
      </c>
      <c r="D5" s="415" t="s">
        <v>34</v>
      </c>
      <c r="E5" s="415" t="s">
        <v>34</v>
      </c>
      <c r="F5" s="415" t="s">
        <v>34</v>
      </c>
      <c r="G5" s="415">
        <v>1</v>
      </c>
      <c r="H5" s="415">
        <v>1.008</v>
      </c>
      <c r="I5" s="415">
        <v>1.004</v>
      </c>
      <c r="J5" s="415">
        <v>1.004</v>
      </c>
      <c r="K5" s="415">
        <v>1.0029999999999999</v>
      </c>
      <c r="L5" s="415">
        <v>1.0029999999999999</v>
      </c>
      <c r="M5" s="415">
        <v>1.0049999999999999</v>
      </c>
      <c r="N5" s="415">
        <v>1.0029999999999999</v>
      </c>
      <c r="O5" s="415">
        <v>1.0029999999999999</v>
      </c>
      <c r="P5" s="415">
        <v>1.002</v>
      </c>
      <c r="Q5" s="415">
        <v>0.997</v>
      </c>
      <c r="R5" s="415">
        <v>0.999</v>
      </c>
      <c r="S5" s="415">
        <v>0.999</v>
      </c>
      <c r="T5" s="21"/>
    </row>
    <row r="6" spans="1:20">
      <c r="A6" s="12">
        <f t="shared" si="0"/>
        <v>1984</v>
      </c>
      <c r="B6" s="415" t="s">
        <v>34</v>
      </c>
      <c r="C6" s="415" t="s">
        <v>34</v>
      </c>
      <c r="D6" s="415" t="s">
        <v>34</v>
      </c>
      <c r="E6" s="415" t="s">
        <v>34</v>
      </c>
      <c r="F6" s="415">
        <v>1.0029999999999999</v>
      </c>
      <c r="G6" s="415">
        <v>1.0029999999999999</v>
      </c>
      <c r="H6" s="415">
        <v>1.0009999999999999</v>
      </c>
      <c r="I6" s="415">
        <v>1.004</v>
      </c>
      <c r="J6" s="415">
        <v>1.002</v>
      </c>
      <c r="K6" s="415">
        <v>1.004</v>
      </c>
      <c r="L6" s="415">
        <v>1.0029999999999999</v>
      </c>
      <c r="M6" s="415">
        <v>1</v>
      </c>
      <c r="N6" s="415">
        <v>1.004</v>
      </c>
      <c r="O6" s="415">
        <v>0.999</v>
      </c>
      <c r="P6" s="415">
        <v>0.999</v>
      </c>
      <c r="Q6" s="415">
        <v>1.0009999999999999</v>
      </c>
      <c r="R6" s="415">
        <v>1</v>
      </c>
      <c r="S6" s="415">
        <v>1</v>
      </c>
      <c r="T6" s="21"/>
    </row>
    <row r="7" spans="1:20">
      <c r="A7" s="12">
        <f t="shared" si="0"/>
        <v>1985</v>
      </c>
      <c r="B7" s="415" t="s">
        <v>34</v>
      </c>
      <c r="C7" s="415" t="s">
        <v>34</v>
      </c>
      <c r="D7" s="415" t="s">
        <v>34</v>
      </c>
      <c r="E7" s="415">
        <v>1.006</v>
      </c>
      <c r="F7" s="415">
        <v>1.0049999999999999</v>
      </c>
      <c r="G7" s="415">
        <v>1.0009999999999999</v>
      </c>
      <c r="H7" s="415">
        <v>1.0009999999999999</v>
      </c>
      <c r="I7" s="415">
        <v>1.002</v>
      </c>
      <c r="J7" s="415">
        <v>1.004</v>
      </c>
      <c r="K7" s="415">
        <v>1.004</v>
      </c>
      <c r="L7" s="415">
        <v>1.0029999999999999</v>
      </c>
      <c r="M7" s="415">
        <v>1.004</v>
      </c>
      <c r="N7" s="415">
        <v>1</v>
      </c>
      <c r="O7" s="415">
        <v>0.999</v>
      </c>
      <c r="P7" s="415">
        <v>0.999</v>
      </c>
      <c r="Q7" s="415">
        <v>1</v>
      </c>
      <c r="R7" s="415">
        <v>1.0009999999999999</v>
      </c>
      <c r="S7" s="415">
        <v>1.0009999999999999</v>
      </c>
      <c r="T7" s="21"/>
    </row>
    <row r="8" spans="1:20">
      <c r="A8" s="12">
        <f t="shared" si="0"/>
        <v>1986</v>
      </c>
      <c r="B8" s="415" t="s">
        <v>34</v>
      </c>
      <c r="C8" s="415" t="s">
        <v>34</v>
      </c>
      <c r="D8" s="415">
        <v>1.0029999999999999</v>
      </c>
      <c r="E8" s="415">
        <v>1.0009999999999999</v>
      </c>
      <c r="F8" s="415">
        <v>1.0049999999999999</v>
      </c>
      <c r="G8" s="415">
        <v>1.0029999999999999</v>
      </c>
      <c r="H8" s="415">
        <v>1.006</v>
      </c>
      <c r="I8" s="415">
        <v>1.006</v>
      </c>
      <c r="J8" s="415">
        <v>1.0049999999999999</v>
      </c>
      <c r="K8" s="415">
        <v>1.0049999999999999</v>
      </c>
      <c r="L8" s="415">
        <v>1.004</v>
      </c>
      <c r="M8" s="415">
        <v>1.002</v>
      </c>
      <c r="N8" s="415">
        <v>1.0009999999999999</v>
      </c>
      <c r="O8" s="415">
        <v>0.998</v>
      </c>
      <c r="P8" s="415">
        <v>1.004</v>
      </c>
      <c r="Q8" s="415">
        <v>1.004</v>
      </c>
      <c r="R8" s="415">
        <v>0.99299999999999999</v>
      </c>
      <c r="S8" s="415" t="s">
        <v>34</v>
      </c>
      <c r="T8" s="21"/>
    </row>
    <row r="9" spans="1:20">
      <c r="A9" s="12">
        <f t="shared" si="0"/>
        <v>1987</v>
      </c>
      <c r="B9" s="415" t="s">
        <v>34</v>
      </c>
      <c r="C9" s="415">
        <v>0.999</v>
      </c>
      <c r="D9" s="415">
        <v>1.0029999999999999</v>
      </c>
      <c r="E9" s="415">
        <v>1.0009999999999999</v>
      </c>
      <c r="F9" s="415">
        <v>1.0049999999999999</v>
      </c>
      <c r="G9" s="415">
        <v>1.01</v>
      </c>
      <c r="H9" s="415">
        <v>0.999</v>
      </c>
      <c r="I9" s="415">
        <v>1.006</v>
      </c>
      <c r="J9" s="415">
        <v>1.0029999999999999</v>
      </c>
      <c r="K9" s="415">
        <v>1.0049999999999999</v>
      </c>
      <c r="L9" s="415">
        <v>1.0029999999999999</v>
      </c>
      <c r="M9" s="415">
        <v>1.0009999999999999</v>
      </c>
      <c r="N9" s="415">
        <v>0.999</v>
      </c>
      <c r="O9" s="415">
        <v>1.0009999999999999</v>
      </c>
      <c r="P9" s="415">
        <v>0.999</v>
      </c>
      <c r="Q9" s="415">
        <v>1.006</v>
      </c>
      <c r="R9" s="415" t="s">
        <v>34</v>
      </c>
      <c r="S9" s="415" t="s">
        <v>34</v>
      </c>
      <c r="T9" s="21"/>
    </row>
    <row r="10" spans="1:20">
      <c r="A10" s="12">
        <f t="shared" si="0"/>
        <v>1988</v>
      </c>
      <c r="B10" s="415">
        <v>1.0029999999999999</v>
      </c>
      <c r="C10" s="415">
        <v>1.0049999999999999</v>
      </c>
      <c r="D10" s="415">
        <v>1.002</v>
      </c>
      <c r="E10" s="415">
        <v>1.006</v>
      </c>
      <c r="F10" s="415">
        <v>1.0049999999999999</v>
      </c>
      <c r="G10" s="415">
        <v>1.0049999999999999</v>
      </c>
      <c r="H10" s="415">
        <v>1.0009999999999999</v>
      </c>
      <c r="I10" s="415">
        <v>1.0049999999999999</v>
      </c>
      <c r="J10" s="415">
        <v>1.002</v>
      </c>
      <c r="K10" s="415">
        <v>1.0029999999999999</v>
      </c>
      <c r="L10" s="415">
        <v>1.002</v>
      </c>
      <c r="M10" s="415">
        <v>1</v>
      </c>
      <c r="N10" s="415">
        <v>0.998</v>
      </c>
      <c r="O10" s="415">
        <v>1</v>
      </c>
      <c r="P10" s="415">
        <v>1.0009999999999999</v>
      </c>
      <c r="Q10" s="415" t="s">
        <v>34</v>
      </c>
      <c r="R10" s="415" t="s">
        <v>34</v>
      </c>
      <c r="S10" s="415" t="s">
        <v>34</v>
      </c>
      <c r="T10" s="21"/>
    </row>
    <row r="11" spans="1:20">
      <c r="A11" s="12">
        <f t="shared" si="0"/>
        <v>1989</v>
      </c>
      <c r="B11" s="415">
        <v>1.0029999999999999</v>
      </c>
      <c r="C11" s="415">
        <v>1.006</v>
      </c>
      <c r="D11" s="415">
        <v>1.0049999999999999</v>
      </c>
      <c r="E11" s="415">
        <v>1.008</v>
      </c>
      <c r="F11" s="415">
        <v>1.0049999999999999</v>
      </c>
      <c r="G11" s="415">
        <v>1.006</v>
      </c>
      <c r="H11" s="415">
        <v>1.0069999999999999</v>
      </c>
      <c r="I11" s="415">
        <v>1</v>
      </c>
      <c r="J11" s="415">
        <v>1.002</v>
      </c>
      <c r="K11" s="415">
        <v>0.999</v>
      </c>
      <c r="L11" s="415">
        <v>0.999</v>
      </c>
      <c r="M11" s="415">
        <v>1</v>
      </c>
      <c r="N11" s="415">
        <v>0.999</v>
      </c>
      <c r="O11" s="415">
        <v>1.0029999999999999</v>
      </c>
      <c r="P11" s="415" t="s">
        <v>34</v>
      </c>
      <c r="Q11" s="415" t="s">
        <v>34</v>
      </c>
      <c r="R11" s="415" t="s">
        <v>34</v>
      </c>
      <c r="S11" s="415" t="s">
        <v>34</v>
      </c>
      <c r="T11" s="21"/>
    </row>
    <row r="12" spans="1:20">
      <c r="A12" s="12">
        <f t="shared" si="0"/>
        <v>1990</v>
      </c>
      <c r="B12" s="415">
        <v>1.0029999999999999</v>
      </c>
      <c r="C12" s="415">
        <v>1.006</v>
      </c>
      <c r="D12" s="415">
        <v>1.008</v>
      </c>
      <c r="E12" s="415">
        <v>1.0049999999999999</v>
      </c>
      <c r="F12" s="415">
        <v>1.0029999999999999</v>
      </c>
      <c r="G12" s="415">
        <v>1.002</v>
      </c>
      <c r="H12" s="415">
        <v>1.004</v>
      </c>
      <c r="I12" s="415">
        <v>0.997</v>
      </c>
      <c r="J12" s="415">
        <v>1.0009999999999999</v>
      </c>
      <c r="K12" s="415">
        <v>1.0009999999999999</v>
      </c>
      <c r="L12" s="415">
        <v>0.999</v>
      </c>
      <c r="M12" s="415">
        <v>0.998</v>
      </c>
      <c r="N12" s="415">
        <v>0.999</v>
      </c>
      <c r="O12" s="415" t="s">
        <v>34</v>
      </c>
      <c r="P12" s="415" t="s">
        <v>34</v>
      </c>
      <c r="Q12" s="415" t="s">
        <v>34</v>
      </c>
      <c r="R12" s="415" t="s">
        <v>34</v>
      </c>
      <c r="S12" s="415" t="s">
        <v>34</v>
      </c>
    </row>
    <row r="13" spans="1:20" ht="12.75" customHeight="1">
      <c r="A13" s="12">
        <f t="shared" si="0"/>
        <v>1991</v>
      </c>
      <c r="B13" s="415">
        <v>1.0069999999999999</v>
      </c>
      <c r="C13" s="415">
        <v>1.006</v>
      </c>
      <c r="D13" s="415">
        <v>1.0049999999999999</v>
      </c>
      <c r="E13" s="415">
        <v>1.002</v>
      </c>
      <c r="F13" s="415">
        <v>1.004</v>
      </c>
      <c r="G13" s="415">
        <v>1.0009999999999999</v>
      </c>
      <c r="H13" s="415">
        <v>1.0029999999999999</v>
      </c>
      <c r="I13" s="415">
        <v>1.0009999999999999</v>
      </c>
      <c r="J13" s="415">
        <v>0.999</v>
      </c>
      <c r="K13" s="415">
        <v>0.999</v>
      </c>
      <c r="L13" s="415">
        <v>0.998</v>
      </c>
      <c r="M13" s="415">
        <v>1.0009999999999999</v>
      </c>
      <c r="N13" s="415" t="s">
        <v>34</v>
      </c>
      <c r="O13" s="415" t="s">
        <v>34</v>
      </c>
      <c r="P13" s="415" t="s">
        <v>34</v>
      </c>
      <c r="Q13" s="415" t="s">
        <v>34</v>
      </c>
      <c r="R13" s="415" t="s">
        <v>34</v>
      </c>
      <c r="S13" s="415" t="s">
        <v>34</v>
      </c>
    </row>
    <row r="14" spans="1:20" ht="12.75" customHeight="1">
      <c r="A14" s="12">
        <f t="shared" si="0"/>
        <v>1992</v>
      </c>
      <c r="B14" s="415">
        <v>1.0089999999999999</v>
      </c>
      <c r="C14" s="415">
        <v>1.0009999999999999</v>
      </c>
      <c r="D14" s="415">
        <v>1.0029999999999999</v>
      </c>
      <c r="E14" s="415">
        <v>1.0049999999999999</v>
      </c>
      <c r="F14" s="415">
        <v>1.0029999999999999</v>
      </c>
      <c r="G14" s="415">
        <v>1.0029999999999999</v>
      </c>
      <c r="H14" s="415">
        <v>0.999</v>
      </c>
      <c r="I14" s="415">
        <v>1</v>
      </c>
      <c r="J14" s="415">
        <v>1.002</v>
      </c>
      <c r="K14" s="415">
        <v>0.998</v>
      </c>
      <c r="L14" s="415">
        <v>1.002</v>
      </c>
      <c r="M14" s="415" t="s">
        <v>34</v>
      </c>
      <c r="N14" s="415" t="s">
        <v>34</v>
      </c>
      <c r="O14" s="415" t="s">
        <v>34</v>
      </c>
      <c r="P14" s="415" t="s">
        <v>34</v>
      </c>
      <c r="Q14" s="415" t="s">
        <v>34</v>
      </c>
      <c r="R14" s="415" t="s">
        <v>34</v>
      </c>
      <c r="S14" s="415" t="s">
        <v>34</v>
      </c>
    </row>
    <row r="15" spans="1:20" ht="12.75" customHeight="1">
      <c r="A15" s="12">
        <f t="shared" si="0"/>
        <v>1993</v>
      </c>
      <c r="B15" s="415">
        <v>1.0049999999999999</v>
      </c>
      <c r="C15" s="415">
        <v>1.0129999999999999</v>
      </c>
      <c r="D15" s="415">
        <v>1.0129999999999999</v>
      </c>
      <c r="E15" s="415">
        <v>1.0009999999999999</v>
      </c>
      <c r="F15" s="415">
        <v>1.0009999999999999</v>
      </c>
      <c r="G15" s="415">
        <v>0.999</v>
      </c>
      <c r="H15" s="415">
        <v>0.996</v>
      </c>
      <c r="I15" s="415">
        <v>1</v>
      </c>
      <c r="J15" s="415">
        <v>1</v>
      </c>
      <c r="K15" s="415">
        <v>0.998</v>
      </c>
      <c r="L15" s="415" t="s">
        <v>34</v>
      </c>
      <c r="M15" s="415" t="s">
        <v>34</v>
      </c>
      <c r="N15" s="415" t="s">
        <v>34</v>
      </c>
      <c r="O15" s="415" t="s">
        <v>34</v>
      </c>
      <c r="P15" s="415" t="s">
        <v>34</v>
      </c>
      <c r="Q15" s="415" t="s">
        <v>34</v>
      </c>
      <c r="R15" s="415" t="s">
        <v>34</v>
      </c>
      <c r="S15" s="415" t="s">
        <v>34</v>
      </c>
    </row>
    <row r="16" spans="1:20" ht="12.75" customHeight="1">
      <c r="A16" s="12">
        <f t="shared" si="0"/>
        <v>1994</v>
      </c>
      <c r="B16" s="415">
        <v>1.0109999999999999</v>
      </c>
      <c r="C16" s="415">
        <v>1.0049999999999999</v>
      </c>
      <c r="D16" s="415">
        <v>1.006</v>
      </c>
      <c r="E16" s="415">
        <v>1.004</v>
      </c>
      <c r="F16" s="415">
        <v>1.0009999999999999</v>
      </c>
      <c r="G16" s="415">
        <v>0.996</v>
      </c>
      <c r="H16" s="415">
        <v>0.997</v>
      </c>
      <c r="I16" s="415">
        <v>0.998</v>
      </c>
      <c r="J16" s="415">
        <v>1.0029999999999999</v>
      </c>
      <c r="K16" s="415" t="s">
        <v>34</v>
      </c>
      <c r="L16" s="415" t="s">
        <v>34</v>
      </c>
      <c r="M16" s="415" t="s">
        <v>34</v>
      </c>
      <c r="N16" s="415" t="s">
        <v>34</v>
      </c>
      <c r="O16" s="415" t="s">
        <v>34</v>
      </c>
      <c r="P16" s="415" t="s">
        <v>34</v>
      </c>
      <c r="Q16" s="415" t="s">
        <v>34</v>
      </c>
      <c r="R16" s="415" t="s">
        <v>34</v>
      </c>
      <c r="S16" s="415" t="s">
        <v>34</v>
      </c>
    </row>
    <row r="17" spans="1:20" ht="12.75" customHeight="1">
      <c r="A17" s="12">
        <f t="shared" si="0"/>
        <v>1995</v>
      </c>
      <c r="B17" s="415">
        <v>1.012</v>
      </c>
      <c r="C17" s="415">
        <v>0.996</v>
      </c>
      <c r="D17" s="415">
        <v>1.0069999999999999</v>
      </c>
      <c r="E17" s="415">
        <v>1</v>
      </c>
      <c r="F17" s="415">
        <v>0.997</v>
      </c>
      <c r="G17" s="415">
        <v>0.998</v>
      </c>
      <c r="H17" s="415">
        <v>0.999</v>
      </c>
      <c r="I17" s="415">
        <v>1.0029999999999999</v>
      </c>
      <c r="J17" s="415" t="s">
        <v>34</v>
      </c>
      <c r="K17" s="415" t="s">
        <v>34</v>
      </c>
      <c r="L17" s="415" t="s">
        <v>34</v>
      </c>
      <c r="M17" s="415" t="s">
        <v>34</v>
      </c>
      <c r="N17" s="415" t="s">
        <v>34</v>
      </c>
      <c r="O17" s="415" t="s">
        <v>34</v>
      </c>
      <c r="P17" s="415" t="s">
        <v>34</v>
      </c>
      <c r="Q17" s="415" t="s">
        <v>34</v>
      </c>
      <c r="R17" s="415" t="s">
        <v>34</v>
      </c>
      <c r="S17" s="415" t="s">
        <v>34</v>
      </c>
    </row>
    <row r="18" spans="1:20" ht="12.75" customHeight="1">
      <c r="A18" s="12">
        <f t="shared" si="0"/>
        <v>1996</v>
      </c>
      <c r="B18" s="415">
        <v>1.0069999999999999</v>
      </c>
      <c r="C18" s="415">
        <v>1.0029999999999999</v>
      </c>
      <c r="D18" s="415">
        <v>1</v>
      </c>
      <c r="E18" s="415">
        <v>1.0009999999999999</v>
      </c>
      <c r="F18" s="415">
        <v>0.998</v>
      </c>
      <c r="G18" s="415">
        <v>0.996</v>
      </c>
      <c r="H18" s="415">
        <v>1.0009999999999999</v>
      </c>
      <c r="I18" s="415" t="s">
        <v>34</v>
      </c>
      <c r="J18" s="415" t="s">
        <v>34</v>
      </c>
      <c r="K18" s="415" t="s">
        <v>34</v>
      </c>
      <c r="L18" s="415" t="s">
        <v>34</v>
      </c>
      <c r="M18" s="415" t="s">
        <v>34</v>
      </c>
      <c r="N18" s="415" t="s">
        <v>34</v>
      </c>
      <c r="O18" s="415" t="s">
        <v>34</v>
      </c>
      <c r="P18" s="415" t="s">
        <v>34</v>
      </c>
      <c r="Q18" s="415" t="s">
        <v>34</v>
      </c>
      <c r="R18" s="415" t="s">
        <v>34</v>
      </c>
      <c r="S18" s="415" t="s">
        <v>34</v>
      </c>
    </row>
    <row r="19" spans="1:20" ht="12.75" customHeight="1">
      <c r="A19" s="12">
        <f t="shared" si="0"/>
        <v>1997</v>
      </c>
      <c r="B19" s="415">
        <v>1</v>
      </c>
      <c r="C19" s="415">
        <v>0.995</v>
      </c>
      <c r="D19" s="415">
        <v>0.997</v>
      </c>
      <c r="E19" s="415">
        <v>0.998</v>
      </c>
      <c r="F19" s="415">
        <v>1</v>
      </c>
      <c r="G19" s="415">
        <v>1</v>
      </c>
      <c r="H19" s="415" t="s">
        <v>34</v>
      </c>
      <c r="I19" s="415" t="s">
        <v>34</v>
      </c>
      <c r="J19" s="415" t="s">
        <v>34</v>
      </c>
      <c r="K19" s="415" t="s">
        <v>34</v>
      </c>
      <c r="L19" s="415" t="s">
        <v>34</v>
      </c>
      <c r="M19" s="415" t="s">
        <v>34</v>
      </c>
      <c r="N19" s="415" t="s">
        <v>34</v>
      </c>
      <c r="O19" s="415" t="s">
        <v>34</v>
      </c>
      <c r="P19" s="415" t="s">
        <v>34</v>
      </c>
      <c r="Q19" s="415" t="s">
        <v>34</v>
      </c>
      <c r="R19" s="415" t="s">
        <v>34</v>
      </c>
      <c r="S19" s="415" t="s">
        <v>34</v>
      </c>
    </row>
    <row r="20" spans="1:20" ht="12.75" customHeight="1">
      <c r="A20" s="12">
        <f t="shared" si="0"/>
        <v>1998</v>
      </c>
      <c r="B20" s="415">
        <v>0.999</v>
      </c>
      <c r="C20" s="415">
        <v>1</v>
      </c>
      <c r="D20" s="415">
        <v>0.996</v>
      </c>
      <c r="E20" s="415">
        <v>1</v>
      </c>
      <c r="F20" s="415">
        <v>1.0029999999999999</v>
      </c>
      <c r="G20" s="415" t="s">
        <v>34</v>
      </c>
      <c r="H20" s="415" t="s">
        <v>34</v>
      </c>
      <c r="I20" s="415" t="s">
        <v>34</v>
      </c>
      <c r="J20" s="415" t="s">
        <v>34</v>
      </c>
      <c r="K20" s="415" t="s">
        <v>34</v>
      </c>
      <c r="L20" s="415" t="s">
        <v>34</v>
      </c>
      <c r="M20" s="415" t="s">
        <v>34</v>
      </c>
      <c r="N20" s="415" t="s">
        <v>34</v>
      </c>
      <c r="O20" s="415" t="s">
        <v>34</v>
      </c>
      <c r="P20" s="415" t="s">
        <v>34</v>
      </c>
      <c r="Q20" s="415" t="s">
        <v>34</v>
      </c>
      <c r="R20" s="415" t="s">
        <v>34</v>
      </c>
      <c r="S20" s="415" t="s">
        <v>34</v>
      </c>
    </row>
    <row r="21" spans="1:20" ht="12.75" customHeight="1">
      <c r="A21" s="12">
        <f t="shared" si="0"/>
        <v>1999</v>
      </c>
      <c r="B21" s="415">
        <v>0.998</v>
      </c>
      <c r="C21" s="415">
        <v>0.997</v>
      </c>
      <c r="D21" s="415">
        <v>1.002</v>
      </c>
      <c r="E21" s="415">
        <v>1</v>
      </c>
      <c r="F21" s="415" t="s">
        <v>34</v>
      </c>
      <c r="G21" s="415" t="s">
        <v>34</v>
      </c>
      <c r="H21" s="415" t="s">
        <v>34</v>
      </c>
      <c r="I21" s="415" t="s">
        <v>34</v>
      </c>
      <c r="J21" s="415" t="s">
        <v>34</v>
      </c>
      <c r="K21" s="415" t="s">
        <v>34</v>
      </c>
      <c r="L21" s="415" t="s">
        <v>34</v>
      </c>
      <c r="M21" s="415" t="s">
        <v>34</v>
      </c>
      <c r="N21" s="415" t="s">
        <v>34</v>
      </c>
      <c r="O21" s="415" t="s">
        <v>34</v>
      </c>
      <c r="P21" s="415" t="s">
        <v>34</v>
      </c>
      <c r="Q21" s="415" t="s">
        <v>34</v>
      </c>
      <c r="R21" s="415" t="s">
        <v>34</v>
      </c>
      <c r="S21" s="415" t="s">
        <v>34</v>
      </c>
    </row>
    <row r="22" spans="1:20" ht="12.75" customHeight="1">
      <c r="A22" s="12">
        <f t="shared" si="0"/>
        <v>2000</v>
      </c>
      <c r="B22" s="415">
        <v>0.997</v>
      </c>
      <c r="C22" s="415">
        <v>0.998</v>
      </c>
      <c r="D22" s="415">
        <v>1.0009999999999999</v>
      </c>
      <c r="E22" s="415" t="s">
        <v>34</v>
      </c>
      <c r="F22" s="415" t="s">
        <v>34</v>
      </c>
      <c r="G22" s="415" t="s">
        <v>34</v>
      </c>
      <c r="H22" s="415" t="s">
        <v>34</v>
      </c>
      <c r="I22" s="415" t="s">
        <v>34</v>
      </c>
      <c r="J22" s="415" t="s">
        <v>34</v>
      </c>
      <c r="K22" s="415" t="s">
        <v>34</v>
      </c>
      <c r="L22" s="415" t="s">
        <v>34</v>
      </c>
      <c r="M22" s="415" t="s">
        <v>34</v>
      </c>
      <c r="N22" s="415" t="s">
        <v>34</v>
      </c>
      <c r="O22" s="415" t="s">
        <v>34</v>
      </c>
      <c r="P22" s="415" t="s">
        <v>34</v>
      </c>
      <c r="Q22" s="415" t="s">
        <v>34</v>
      </c>
      <c r="R22" s="415" t="s">
        <v>34</v>
      </c>
      <c r="S22" s="415" t="s">
        <v>34</v>
      </c>
    </row>
    <row r="23" spans="1:20" ht="12.75" customHeight="1">
      <c r="A23" s="12">
        <f t="shared" si="0"/>
        <v>2001</v>
      </c>
      <c r="B23" s="415">
        <v>1.002</v>
      </c>
      <c r="C23" s="415">
        <v>1.0009999999999999</v>
      </c>
      <c r="D23" s="415" t="s">
        <v>34</v>
      </c>
      <c r="E23" s="415" t="s">
        <v>34</v>
      </c>
      <c r="F23" s="415" t="s">
        <v>34</v>
      </c>
      <c r="G23" s="415" t="s">
        <v>34</v>
      </c>
      <c r="H23" s="415" t="s">
        <v>34</v>
      </c>
      <c r="I23" s="415" t="s">
        <v>34</v>
      </c>
      <c r="J23" s="415" t="s">
        <v>34</v>
      </c>
      <c r="K23" s="415" t="s">
        <v>34</v>
      </c>
      <c r="L23" s="415" t="s">
        <v>34</v>
      </c>
      <c r="M23" s="415" t="s">
        <v>34</v>
      </c>
      <c r="N23" s="415" t="s">
        <v>34</v>
      </c>
      <c r="O23" s="415" t="s">
        <v>34</v>
      </c>
      <c r="P23" s="415" t="s">
        <v>34</v>
      </c>
      <c r="Q23" s="415" t="s">
        <v>34</v>
      </c>
      <c r="R23" s="415" t="s">
        <v>34</v>
      </c>
      <c r="S23" s="415" t="s">
        <v>34</v>
      </c>
    </row>
    <row r="24" spans="1:20" ht="12.75" customHeight="1">
      <c r="A24" s="12">
        <f>'Exhibit 2.1.2'!A24</f>
        <v>2002</v>
      </c>
      <c r="B24" s="415">
        <v>1.002</v>
      </c>
      <c r="C24" s="415" t="s">
        <v>34</v>
      </c>
      <c r="D24" s="415" t="s">
        <v>34</v>
      </c>
      <c r="E24" s="415" t="s">
        <v>34</v>
      </c>
      <c r="F24" s="415" t="s">
        <v>34</v>
      </c>
      <c r="G24" s="415" t="s">
        <v>34</v>
      </c>
      <c r="H24" s="415" t="s">
        <v>34</v>
      </c>
      <c r="I24" s="415" t="s">
        <v>34</v>
      </c>
      <c r="J24" s="415" t="s">
        <v>34</v>
      </c>
      <c r="K24" s="415" t="s">
        <v>34</v>
      </c>
      <c r="L24" s="415" t="s">
        <v>34</v>
      </c>
      <c r="M24" s="415" t="s">
        <v>34</v>
      </c>
      <c r="N24" s="415" t="s">
        <v>34</v>
      </c>
      <c r="O24" s="415" t="s">
        <v>34</v>
      </c>
      <c r="P24" s="415" t="s">
        <v>34</v>
      </c>
      <c r="Q24" s="415" t="s">
        <v>34</v>
      </c>
      <c r="R24" s="415" t="s">
        <v>34</v>
      </c>
      <c r="S24" s="415" t="s">
        <v>34</v>
      </c>
    </row>
    <row r="25" spans="1:20">
      <c r="A25" s="251"/>
      <c r="B25" s="13"/>
      <c r="C25" s="13"/>
      <c r="D25" s="13"/>
      <c r="E25" s="13"/>
      <c r="F25" s="13"/>
      <c r="G25" s="13"/>
      <c r="H25" s="13"/>
      <c r="I25" s="13"/>
      <c r="J25" s="13"/>
      <c r="K25" s="13"/>
      <c r="L25" s="13"/>
      <c r="M25" s="13"/>
      <c r="N25" s="13"/>
      <c r="O25" s="13"/>
      <c r="P25" s="13"/>
      <c r="R25" s="13"/>
      <c r="S25" s="13"/>
    </row>
    <row r="26" spans="1:20">
      <c r="A26" s="14"/>
      <c r="B26" s="13"/>
      <c r="C26" s="13"/>
      <c r="D26" s="13"/>
      <c r="E26" s="13"/>
      <c r="F26" s="13"/>
      <c r="G26" s="13"/>
      <c r="H26" s="13"/>
      <c r="I26" s="13"/>
      <c r="J26" s="13"/>
      <c r="K26" s="13"/>
      <c r="L26" s="13"/>
      <c r="M26" s="13"/>
      <c r="N26" s="13"/>
      <c r="O26" s="13"/>
      <c r="P26" s="13"/>
      <c r="Q26" s="13"/>
      <c r="R26" s="13"/>
      <c r="S26" s="13"/>
    </row>
    <row r="27" spans="1:20">
      <c r="A27" s="14" t="s">
        <v>20</v>
      </c>
      <c r="B27" s="431">
        <f>AVERAGE(B19:B24)</f>
        <v>0.99966666666666659</v>
      </c>
      <c r="C27" s="431">
        <f>AVERAGE(C18:C23)</f>
        <v>0.999</v>
      </c>
      <c r="D27" s="431">
        <f>AVERAGE(D17:D22)</f>
        <v>1.0004999999999999</v>
      </c>
      <c r="E27" s="431">
        <f>AVERAGE(E16:E21)</f>
        <v>1.0004999999999999</v>
      </c>
      <c r="F27" s="431">
        <f>AVERAGE(F15:F20)</f>
        <v>1</v>
      </c>
      <c r="G27" s="431">
        <f>AVERAGE(G14:G19)</f>
        <v>0.99866666666666648</v>
      </c>
      <c r="H27" s="431">
        <f>AVERAGE(H13:H18)</f>
        <v>0.99916666666666654</v>
      </c>
      <c r="I27" s="431">
        <f>AVERAGE(I12:I17)</f>
        <v>0.99983333333333324</v>
      </c>
      <c r="J27" s="431">
        <f>AVERAGE(J11:J16)</f>
        <v>1.0011666666666668</v>
      </c>
      <c r="K27" s="431">
        <f>AVERAGE(K10:K15)</f>
        <v>0.9996666666666667</v>
      </c>
      <c r="L27" s="431">
        <f>AVERAGE(L9:L14)</f>
        <v>1.0004999999999999</v>
      </c>
      <c r="M27" s="431">
        <f>AVERAGE(M8:M13)</f>
        <v>1.0003333333333335</v>
      </c>
      <c r="N27" s="431">
        <f>AVERAGE(N7:N12)</f>
        <v>0.9993333333333333</v>
      </c>
      <c r="O27" s="431">
        <f>AVERAGE(O6:O11)</f>
        <v>1</v>
      </c>
      <c r="P27" s="431">
        <f>AVERAGE(P5:P10)</f>
        <v>1.0006666666666666</v>
      </c>
      <c r="Q27" s="13">
        <f>AVERAGE(Q5:Q9)</f>
        <v>1.0016</v>
      </c>
      <c r="R27" s="13">
        <f>AVERAGE(R5:R8)</f>
        <v>0.99824999999999997</v>
      </c>
      <c r="S27" s="13">
        <f>AVERAGE(S5:S7)</f>
        <v>1</v>
      </c>
      <c r="T27" s="16"/>
    </row>
    <row r="28" spans="1:20">
      <c r="A28" s="251" t="s">
        <v>21</v>
      </c>
      <c r="B28" s="13">
        <f>C28*B27</f>
        <v>1.0220321502061418</v>
      </c>
      <c r="C28" s="13">
        <f t="shared" ref="C28:S28" si="1">D28*C27</f>
        <v>1.0223729411865374</v>
      </c>
      <c r="D28" s="13">
        <f t="shared" si="1"/>
        <v>1.0233963375240616</v>
      </c>
      <c r="E28" s="13">
        <f t="shared" si="1"/>
        <v>1.0228848950765232</v>
      </c>
      <c r="F28" s="13">
        <f t="shared" si="1"/>
        <v>1.022373708222412</v>
      </c>
      <c r="G28" s="13">
        <f t="shared" si="1"/>
        <v>1.022373708222412</v>
      </c>
      <c r="H28" s="13">
        <f t="shared" si="1"/>
        <v>1.0237386931466077</v>
      </c>
      <c r="I28" s="13">
        <f t="shared" si="1"/>
        <v>1.0245925202468136</v>
      </c>
      <c r="J28" s="13">
        <f t="shared" si="1"/>
        <v>1.0247633141325023</v>
      </c>
      <c r="K28" s="13">
        <f t="shared" si="1"/>
        <v>1.0235691501240243</v>
      </c>
      <c r="L28" s="13">
        <f t="shared" si="1"/>
        <v>1.0239104536085604</v>
      </c>
      <c r="M28" s="13">
        <f t="shared" si="1"/>
        <v>1.0233987542314447</v>
      </c>
      <c r="N28" s="13">
        <f t="shared" si="1"/>
        <v>1.0230577349864489</v>
      </c>
      <c r="O28" s="13">
        <f t="shared" si="1"/>
        <v>1.0237402284720971</v>
      </c>
      <c r="P28" s="13">
        <f t="shared" si="1"/>
        <v>1.0237402284720971</v>
      </c>
      <c r="Q28" s="13">
        <f t="shared" si="1"/>
        <v>1.0230581896789779</v>
      </c>
      <c r="R28" s="13">
        <f t="shared" si="1"/>
        <v>1.0214239114207047</v>
      </c>
      <c r="S28" s="13">
        <f t="shared" si="1"/>
        <v>1.0232145368602101</v>
      </c>
      <c r="T28" s="415">
        <v>1.0232145368602101</v>
      </c>
    </row>
    <row r="29" spans="1:20" ht="19.149999999999999" customHeight="1">
      <c r="A29" s="172" t="s">
        <v>26</v>
      </c>
      <c r="B29" s="531" t="s">
        <v>553</v>
      </c>
      <c r="C29" s="531"/>
      <c r="D29" s="531"/>
      <c r="E29" s="531"/>
      <c r="F29" s="531"/>
      <c r="G29" s="531"/>
      <c r="H29" s="531"/>
      <c r="I29" s="531"/>
      <c r="J29" s="531"/>
      <c r="K29" s="531"/>
      <c r="L29" s="531"/>
      <c r="M29" s="531"/>
      <c r="N29" s="531"/>
      <c r="O29" s="531"/>
      <c r="P29" s="531"/>
      <c r="Q29" s="531"/>
      <c r="R29" s="531"/>
      <c r="S29" s="316"/>
    </row>
    <row r="30" spans="1:20" ht="13.15" customHeight="1">
      <c r="B30" s="532" t="s">
        <v>553</v>
      </c>
      <c r="C30" s="532"/>
      <c r="D30" s="532"/>
      <c r="E30" s="532"/>
      <c r="F30" s="532"/>
      <c r="G30" s="532"/>
      <c r="H30" s="532"/>
      <c r="I30" s="532"/>
      <c r="J30" s="532"/>
      <c r="K30" s="532"/>
      <c r="L30" s="532"/>
      <c r="M30" s="532"/>
      <c r="N30" s="532"/>
      <c r="O30" s="532"/>
      <c r="P30" s="532"/>
      <c r="Q30" s="532"/>
      <c r="R30" s="532"/>
      <c r="S30" s="317"/>
    </row>
  </sheetData>
  <mergeCells count="1">
    <mergeCell ref="B29:R30"/>
  </mergeCells>
  <pageMargins left="0.7" right="0.7" top="0.75" bottom="0.75" header="0.3" footer="0.3"/>
  <pageSetup scale="73" orientation="landscape" blackAndWhite="1"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34"/>
  <sheetViews>
    <sheetView zoomScaleNormal="100" workbookViewId="0"/>
  </sheetViews>
  <sheetFormatPr defaultColWidth="9.1328125" defaultRowHeight="12.75"/>
  <cols>
    <col min="1" max="1" width="18.59765625" style="110" customWidth="1"/>
    <col min="2" max="17" width="8.265625" style="110" customWidth="1"/>
    <col min="18" max="16384" width="9.1328125" style="110"/>
  </cols>
  <sheetData>
    <row r="1" spans="1:17" ht="13.15" customHeight="1">
      <c r="A1" s="274" t="s">
        <v>31</v>
      </c>
      <c r="B1" s="274"/>
      <c r="C1" s="274"/>
      <c r="D1" s="274"/>
      <c r="E1" s="274"/>
      <c r="F1" s="274"/>
      <c r="G1" s="274"/>
      <c r="H1" s="274"/>
      <c r="I1" s="274"/>
      <c r="J1" s="274"/>
      <c r="K1" s="274"/>
      <c r="L1" s="274"/>
      <c r="M1" s="274"/>
      <c r="N1" s="274"/>
      <c r="O1" s="274"/>
      <c r="P1" s="274"/>
      <c r="Q1" s="274"/>
    </row>
    <row r="2" spans="1:17" ht="13.15" customHeight="1">
      <c r="A2" s="120"/>
      <c r="B2" s="165"/>
      <c r="C2" s="120"/>
      <c r="D2" s="120"/>
      <c r="E2" s="120"/>
      <c r="F2" s="120"/>
      <c r="G2" s="120"/>
      <c r="H2" s="120"/>
      <c r="I2" s="120"/>
      <c r="J2" s="120"/>
      <c r="K2" s="120"/>
      <c r="L2" s="120"/>
      <c r="M2" s="120"/>
      <c r="N2" s="120"/>
      <c r="O2" s="120"/>
      <c r="P2" s="120"/>
      <c r="Q2" s="120"/>
    </row>
    <row r="3" spans="1:17" ht="13.15" customHeight="1">
      <c r="A3" s="120"/>
      <c r="B3" s="276" t="s">
        <v>18</v>
      </c>
      <c r="C3" s="276"/>
      <c r="D3" s="276"/>
      <c r="E3" s="276"/>
      <c r="F3" s="276"/>
      <c r="G3" s="276"/>
      <c r="H3" s="276"/>
      <c r="I3" s="276"/>
      <c r="J3" s="276"/>
      <c r="K3" s="276"/>
      <c r="L3" s="276"/>
      <c r="M3" s="276"/>
      <c r="N3" s="276"/>
      <c r="O3" s="276"/>
      <c r="P3" s="276"/>
      <c r="Q3" s="276"/>
    </row>
    <row r="4" spans="1:17" ht="13.15" customHeight="1">
      <c r="A4" s="11" t="s">
        <v>19</v>
      </c>
      <c r="B4" s="11" t="s">
        <v>470</v>
      </c>
      <c r="C4" s="11" t="s">
        <v>471</v>
      </c>
      <c r="D4" s="11" t="s">
        <v>472</v>
      </c>
      <c r="E4" s="11" t="s">
        <v>473</v>
      </c>
      <c r="F4" s="11" t="s">
        <v>474</v>
      </c>
      <c r="G4" s="11" t="s">
        <v>475</v>
      </c>
      <c r="H4" s="11" t="s">
        <v>476</v>
      </c>
      <c r="I4" s="11" t="s">
        <v>477</v>
      </c>
      <c r="J4" s="11" t="s">
        <v>478</v>
      </c>
      <c r="K4" s="11" t="s">
        <v>479</v>
      </c>
      <c r="L4" s="11" t="s">
        <v>480</v>
      </c>
      <c r="M4" s="11" t="s">
        <v>481</v>
      </c>
      <c r="N4" s="11" t="s">
        <v>482</v>
      </c>
      <c r="O4" s="11" t="s">
        <v>483</v>
      </c>
      <c r="P4" s="11" t="s">
        <v>484</v>
      </c>
      <c r="Q4" s="11" t="s">
        <v>485</v>
      </c>
    </row>
    <row r="5" spans="1:17" ht="13.15" customHeight="1">
      <c r="A5" s="12">
        <f t="shared" ref="A5:A28" si="0">+A6-1</f>
        <v>1994</v>
      </c>
      <c r="B5" s="415" t="s">
        <v>34</v>
      </c>
      <c r="C5" s="415" t="s">
        <v>34</v>
      </c>
      <c r="D5" s="415" t="s">
        <v>34</v>
      </c>
      <c r="E5" s="415" t="s">
        <v>34</v>
      </c>
      <c r="F5" s="415" t="s">
        <v>34</v>
      </c>
      <c r="G5" s="415" t="s">
        <v>34</v>
      </c>
      <c r="H5" s="415" t="s">
        <v>34</v>
      </c>
      <c r="I5" s="415" t="s">
        <v>34</v>
      </c>
      <c r="J5" s="415" t="s">
        <v>34</v>
      </c>
      <c r="K5" s="415" t="s">
        <v>34</v>
      </c>
      <c r="L5" s="415">
        <v>1.0089999999999999</v>
      </c>
      <c r="M5" s="415">
        <v>1.008</v>
      </c>
      <c r="N5" s="415">
        <v>1.006</v>
      </c>
      <c r="O5" s="415">
        <v>1.0049999999999999</v>
      </c>
      <c r="P5" s="415">
        <v>1.0029999999999999</v>
      </c>
      <c r="Q5" s="415">
        <v>1.0029999999999999</v>
      </c>
    </row>
    <row r="6" spans="1:17" ht="13.15" customHeight="1">
      <c r="A6" s="12">
        <f t="shared" si="0"/>
        <v>1995</v>
      </c>
      <c r="B6" s="415" t="s">
        <v>34</v>
      </c>
      <c r="C6" s="415" t="s">
        <v>34</v>
      </c>
      <c r="D6" s="415" t="s">
        <v>34</v>
      </c>
      <c r="E6" s="415" t="s">
        <v>34</v>
      </c>
      <c r="F6" s="415" t="s">
        <v>34</v>
      </c>
      <c r="G6" s="415" t="s">
        <v>34</v>
      </c>
      <c r="H6" s="415" t="s">
        <v>34</v>
      </c>
      <c r="I6" s="415" t="s">
        <v>34</v>
      </c>
      <c r="J6" s="415" t="s">
        <v>34</v>
      </c>
      <c r="K6" s="415">
        <v>1.0129999999999999</v>
      </c>
      <c r="L6" s="415">
        <v>1.01</v>
      </c>
      <c r="M6" s="415">
        <v>1.008</v>
      </c>
      <c r="N6" s="415">
        <v>1.0069999999999999</v>
      </c>
      <c r="O6" s="415">
        <v>1.006</v>
      </c>
      <c r="P6" s="415">
        <v>1.004</v>
      </c>
      <c r="Q6" s="415">
        <v>1.004</v>
      </c>
    </row>
    <row r="7" spans="1:17" ht="13.15" customHeight="1">
      <c r="A7" s="12">
        <f t="shared" si="0"/>
        <v>1996</v>
      </c>
      <c r="B7" s="415" t="s">
        <v>34</v>
      </c>
      <c r="C7" s="415" t="s">
        <v>34</v>
      </c>
      <c r="D7" s="415" t="s">
        <v>34</v>
      </c>
      <c r="E7" s="415" t="s">
        <v>34</v>
      </c>
      <c r="F7" s="415" t="s">
        <v>34</v>
      </c>
      <c r="G7" s="415" t="s">
        <v>34</v>
      </c>
      <c r="H7" s="415" t="s">
        <v>34</v>
      </c>
      <c r="I7" s="415" t="s">
        <v>34</v>
      </c>
      <c r="J7" s="415">
        <v>1.018</v>
      </c>
      <c r="K7" s="415">
        <v>1.0129999999999999</v>
      </c>
      <c r="L7" s="415">
        <v>1.0109999999999999</v>
      </c>
      <c r="M7" s="415">
        <v>1.0089999999999999</v>
      </c>
      <c r="N7" s="415">
        <v>1.0069999999999999</v>
      </c>
      <c r="O7" s="415">
        <v>1.004</v>
      </c>
      <c r="P7" s="415">
        <v>1.0049999999999999</v>
      </c>
      <c r="Q7" s="415">
        <v>1.004</v>
      </c>
    </row>
    <row r="8" spans="1:17" ht="13.15" customHeight="1">
      <c r="A8" s="12">
        <f t="shared" si="0"/>
        <v>1997</v>
      </c>
      <c r="B8" s="415" t="s">
        <v>34</v>
      </c>
      <c r="C8" s="415" t="s">
        <v>34</v>
      </c>
      <c r="D8" s="415" t="s">
        <v>34</v>
      </c>
      <c r="E8" s="415" t="s">
        <v>34</v>
      </c>
      <c r="F8" s="415" t="s">
        <v>34</v>
      </c>
      <c r="G8" s="415" t="s">
        <v>34</v>
      </c>
      <c r="H8" s="415" t="s">
        <v>34</v>
      </c>
      <c r="I8" s="415">
        <v>1.0249999999999999</v>
      </c>
      <c r="J8" s="415">
        <v>1.0169999999999999</v>
      </c>
      <c r="K8" s="415">
        <v>1.0149999999999999</v>
      </c>
      <c r="L8" s="415">
        <v>1.0109999999999999</v>
      </c>
      <c r="M8" s="415">
        <v>1.0069999999999999</v>
      </c>
      <c r="N8" s="415">
        <v>1.0069999999999999</v>
      </c>
      <c r="O8" s="415">
        <v>1.006</v>
      </c>
      <c r="P8" s="415">
        <v>1.0049999999999999</v>
      </c>
      <c r="Q8" s="415">
        <v>1.0049999999999999</v>
      </c>
    </row>
    <row r="9" spans="1:17" ht="13.15" customHeight="1">
      <c r="A9" s="12">
        <f t="shared" si="0"/>
        <v>1998</v>
      </c>
      <c r="B9" s="415" t="s">
        <v>34</v>
      </c>
      <c r="C9" s="415" t="s">
        <v>34</v>
      </c>
      <c r="D9" s="415" t="s">
        <v>34</v>
      </c>
      <c r="E9" s="415" t="s">
        <v>34</v>
      </c>
      <c r="F9" s="415" t="s">
        <v>34</v>
      </c>
      <c r="G9" s="415" t="s">
        <v>34</v>
      </c>
      <c r="H9" s="415">
        <v>1.0329999999999999</v>
      </c>
      <c r="I9" s="415">
        <v>1.0249999999999999</v>
      </c>
      <c r="J9" s="415">
        <v>1.018</v>
      </c>
      <c r="K9" s="415">
        <v>1.016</v>
      </c>
      <c r="L9" s="415">
        <v>1.0089999999999999</v>
      </c>
      <c r="M9" s="415">
        <v>1.0089999999999999</v>
      </c>
      <c r="N9" s="415">
        <v>1.008</v>
      </c>
      <c r="O9" s="415">
        <v>1.0069999999999999</v>
      </c>
      <c r="P9" s="415">
        <v>1.006</v>
      </c>
      <c r="Q9" s="415">
        <v>1.006</v>
      </c>
    </row>
    <row r="10" spans="1:17" ht="13.15" customHeight="1">
      <c r="A10" s="12">
        <f t="shared" si="0"/>
        <v>1999</v>
      </c>
      <c r="B10" s="415" t="s">
        <v>34</v>
      </c>
      <c r="C10" s="415" t="s">
        <v>34</v>
      </c>
      <c r="D10" s="415" t="s">
        <v>34</v>
      </c>
      <c r="E10" s="415" t="s">
        <v>34</v>
      </c>
      <c r="F10" s="415" t="s">
        <v>34</v>
      </c>
      <c r="G10" s="415">
        <v>1.0489999999999999</v>
      </c>
      <c r="H10" s="415">
        <v>1.0329999999999999</v>
      </c>
      <c r="I10" s="415">
        <v>1.0209999999999999</v>
      </c>
      <c r="J10" s="415">
        <v>1.018</v>
      </c>
      <c r="K10" s="415">
        <v>1.014</v>
      </c>
      <c r="L10" s="415">
        <v>1.01</v>
      </c>
      <c r="M10" s="415">
        <v>1.0089999999999999</v>
      </c>
      <c r="N10" s="415">
        <v>1.008</v>
      </c>
      <c r="O10" s="415">
        <v>1.006</v>
      </c>
      <c r="P10" s="415">
        <v>1.006</v>
      </c>
      <c r="Q10" s="415">
        <v>1.0049999999999999</v>
      </c>
    </row>
    <row r="11" spans="1:17" ht="13.15" customHeight="1">
      <c r="A11" s="12">
        <f t="shared" si="0"/>
        <v>2000</v>
      </c>
      <c r="B11" s="415" t="s">
        <v>34</v>
      </c>
      <c r="C11" s="415" t="s">
        <v>34</v>
      </c>
      <c r="D11" s="415" t="s">
        <v>34</v>
      </c>
      <c r="E11" s="415" t="s">
        <v>34</v>
      </c>
      <c r="F11" s="415">
        <v>1.0780000000000001</v>
      </c>
      <c r="G11" s="415">
        <v>1.046</v>
      </c>
      <c r="H11" s="415">
        <v>1.03</v>
      </c>
      <c r="I11" s="415">
        <v>1.022</v>
      </c>
      <c r="J11" s="415">
        <v>1.0149999999999999</v>
      </c>
      <c r="K11" s="415">
        <v>1.012</v>
      </c>
      <c r="L11" s="415">
        <v>1.01</v>
      </c>
      <c r="M11" s="415">
        <v>1.0089999999999999</v>
      </c>
      <c r="N11" s="415">
        <v>1.0069999999999999</v>
      </c>
      <c r="O11" s="415">
        <v>1.0069999999999999</v>
      </c>
      <c r="P11" s="415">
        <v>1.004</v>
      </c>
      <c r="Q11" s="415">
        <v>1.004</v>
      </c>
    </row>
    <row r="12" spans="1:17" ht="13.15" customHeight="1">
      <c r="A12" s="12">
        <f t="shared" si="0"/>
        <v>2001</v>
      </c>
      <c r="B12" s="415" t="s">
        <v>34</v>
      </c>
      <c r="C12" s="415" t="s">
        <v>34</v>
      </c>
      <c r="D12" s="415" t="s">
        <v>34</v>
      </c>
      <c r="E12" s="415">
        <v>1.119</v>
      </c>
      <c r="F12" s="415">
        <v>1.07</v>
      </c>
      <c r="G12" s="415">
        <v>1.0449999999999999</v>
      </c>
      <c r="H12" s="415">
        <v>1.03</v>
      </c>
      <c r="I12" s="415">
        <v>1.022</v>
      </c>
      <c r="J12" s="415">
        <v>1.016</v>
      </c>
      <c r="K12" s="415">
        <v>1.014</v>
      </c>
      <c r="L12" s="415">
        <v>1.0109999999999999</v>
      </c>
      <c r="M12" s="415">
        <v>1.0109999999999999</v>
      </c>
      <c r="N12" s="415">
        <v>1.008</v>
      </c>
      <c r="O12" s="415">
        <v>1.0069999999999999</v>
      </c>
      <c r="P12" s="415">
        <v>1.006</v>
      </c>
      <c r="Q12" s="415">
        <v>1.0049999999999999</v>
      </c>
    </row>
    <row r="13" spans="1:17" ht="13.15" customHeight="1">
      <c r="A13" s="12">
        <f t="shared" si="0"/>
        <v>2002</v>
      </c>
      <c r="B13" s="415" t="s">
        <v>34</v>
      </c>
      <c r="C13" s="415" t="s">
        <v>34</v>
      </c>
      <c r="D13" s="415">
        <v>1.2290000000000001</v>
      </c>
      <c r="E13" s="415">
        <v>1.111</v>
      </c>
      <c r="F13" s="415">
        <v>1.0649999999999999</v>
      </c>
      <c r="G13" s="415">
        <v>1.0429999999999999</v>
      </c>
      <c r="H13" s="415">
        <v>1.028</v>
      </c>
      <c r="I13" s="415">
        <v>1.0189999999999999</v>
      </c>
      <c r="J13" s="415">
        <v>1.018</v>
      </c>
      <c r="K13" s="415">
        <v>1.014</v>
      </c>
      <c r="L13" s="415">
        <v>1.012</v>
      </c>
      <c r="M13" s="415">
        <v>1.0089999999999999</v>
      </c>
      <c r="N13" s="415">
        <v>1.0069999999999999</v>
      </c>
      <c r="O13" s="415">
        <v>1.006</v>
      </c>
      <c r="P13" s="415">
        <v>1.0049999999999999</v>
      </c>
      <c r="Q13" s="415">
        <v>1.0049999999999999</v>
      </c>
    </row>
    <row r="14" spans="1:17" ht="13.15" customHeight="1">
      <c r="A14" s="12">
        <f t="shared" si="0"/>
        <v>2003</v>
      </c>
      <c r="B14" s="415" t="s">
        <v>34</v>
      </c>
      <c r="C14" s="415">
        <v>1.5329999999999999</v>
      </c>
      <c r="D14" s="415">
        <v>1.206</v>
      </c>
      <c r="E14" s="415">
        <v>1.109</v>
      </c>
      <c r="F14" s="415">
        <v>1.0640000000000001</v>
      </c>
      <c r="G14" s="415">
        <v>1.0389999999999999</v>
      </c>
      <c r="H14" s="415">
        <v>1.0289999999999999</v>
      </c>
      <c r="I14" s="415">
        <v>1.0249999999999999</v>
      </c>
      <c r="J14" s="415">
        <v>1.022</v>
      </c>
      <c r="K14" s="415">
        <v>1.02</v>
      </c>
      <c r="L14" s="415">
        <v>1.0149999999999999</v>
      </c>
      <c r="M14" s="415">
        <v>1.01</v>
      </c>
      <c r="N14" s="415">
        <v>1.0089999999999999</v>
      </c>
      <c r="O14" s="415">
        <v>1.008</v>
      </c>
      <c r="P14" s="415">
        <v>1.0069999999999999</v>
      </c>
      <c r="Q14" s="415">
        <v>1.0069999999999999</v>
      </c>
    </row>
    <row r="15" spans="1:17" ht="13.15" customHeight="1">
      <c r="A15" s="12">
        <f t="shared" si="0"/>
        <v>2004</v>
      </c>
      <c r="B15" s="415">
        <v>2.2290000000000001</v>
      </c>
      <c r="C15" s="415">
        <v>1.4259999999999999</v>
      </c>
      <c r="D15" s="415">
        <v>1.1910000000000001</v>
      </c>
      <c r="E15" s="415">
        <v>1.1020000000000001</v>
      </c>
      <c r="F15" s="415">
        <v>1.0669999999999999</v>
      </c>
      <c r="G15" s="415">
        <v>1.0449999999999999</v>
      </c>
      <c r="H15" s="415">
        <v>1.0409999999999999</v>
      </c>
      <c r="I15" s="415">
        <v>1.034</v>
      </c>
      <c r="J15" s="415">
        <v>1.026</v>
      </c>
      <c r="K15" s="415">
        <v>1.018</v>
      </c>
      <c r="L15" s="415">
        <v>1.014</v>
      </c>
      <c r="M15" s="415">
        <v>1.0109999999999999</v>
      </c>
      <c r="N15" s="415">
        <v>1.008</v>
      </c>
      <c r="O15" s="415">
        <v>1.008</v>
      </c>
      <c r="P15" s="415">
        <v>1.0089999999999999</v>
      </c>
      <c r="Q15" s="415" t="s">
        <v>34</v>
      </c>
    </row>
    <row r="16" spans="1:17" ht="13.15" customHeight="1">
      <c r="A16" s="12">
        <f t="shared" si="0"/>
        <v>2005</v>
      </c>
      <c r="B16" s="415">
        <v>2.1379999999999999</v>
      </c>
      <c r="C16" s="415">
        <v>1.41</v>
      </c>
      <c r="D16" s="415">
        <v>1.2</v>
      </c>
      <c r="E16" s="415">
        <v>1.1040000000000001</v>
      </c>
      <c r="F16" s="415">
        <v>1.073</v>
      </c>
      <c r="G16" s="415">
        <v>1.0569999999999999</v>
      </c>
      <c r="H16" s="415">
        <v>1.048</v>
      </c>
      <c r="I16" s="415">
        <v>1.0369999999999999</v>
      </c>
      <c r="J16" s="415">
        <v>1.0249999999999999</v>
      </c>
      <c r="K16" s="415">
        <v>1.0189999999999999</v>
      </c>
      <c r="L16" s="415">
        <v>1.014</v>
      </c>
      <c r="M16" s="415">
        <v>1.012</v>
      </c>
      <c r="N16" s="415">
        <v>1.01</v>
      </c>
      <c r="O16" s="415">
        <v>1.01</v>
      </c>
      <c r="P16" s="415" t="s">
        <v>34</v>
      </c>
      <c r="Q16" s="415" t="s">
        <v>34</v>
      </c>
    </row>
    <row r="17" spans="1:17" ht="13.15" customHeight="1">
      <c r="A17" s="12">
        <f t="shared" si="0"/>
        <v>2006</v>
      </c>
      <c r="B17" s="415">
        <v>2.2109999999999999</v>
      </c>
      <c r="C17" s="415">
        <v>1.423</v>
      </c>
      <c r="D17" s="415">
        <v>1.1970000000000001</v>
      </c>
      <c r="E17" s="415">
        <v>1.121</v>
      </c>
      <c r="F17" s="415">
        <v>1.085</v>
      </c>
      <c r="G17" s="415">
        <v>1.0620000000000001</v>
      </c>
      <c r="H17" s="415">
        <v>1.0449999999999999</v>
      </c>
      <c r="I17" s="415">
        <v>1.032</v>
      </c>
      <c r="J17" s="415">
        <v>1.026</v>
      </c>
      <c r="K17" s="415">
        <v>1.0169999999999999</v>
      </c>
      <c r="L17" s="415">
        <v>1.0149999999999999</v>
      </c>
      <c r="M17" s="415">
        <v>1.0109999999999999</v>
      </c>
      <c r="N17" s="415">
        <v>1.01</v>
      </c>
      <c r="O17" s="415" t="s">
        <v>34</v>
      </c>
      <c r="P17" s="415" t="s">
        <v>34</v>
      </c>
      <c r="Q17" s="415" t="s">
        <v>34</v>
      </c>
    </row>
    <row r="18" spans="1:17" ht="13.15" customHeight="1">
      <c r="A18" s="12">
        <f t="shared" si="0"/>
        <v>2007</v>
      </c>
      <c r="B18" s="415">
        <v>2.2429999999999999</v>
      </c>
      <c r="C18" s="415">
        <v>1.4359999999999999</v>
      </c>
      <c r="D18" s="415">
        <v>1.2110000000000001</v>
      </c>
      <c r="E18" s="415">
        <v>1.127</v>
      </c>
      <c r="F18" s="415">
        <v>1.085</v>
      </c>
      <c r="G18" s="415">
        <v>1.0609999999999999</v>
      </c>
      <c r="H18" s="415">
        <v>1.042</v>
      </c>
      <c r="I18" s="415">
        <v>1.032</v>
      </c>
      <c r="J18" s="415">
        <v>1.0249999999999999</v>
      </c>
      <c r="K18" s="415">
        <v>1.0169999999999999</v>
      </c>
      <c r="L18" s="415">
        <v>1.016</v>
      </c>
      <c r="M18" s="415">
        <v>1.0129999999999999</v>
      </c>
      <c r="N18" s="415" t="s">
        <v>34</v>
      </c>
      <c r="O18" s="415" t="s">
        <v>34</v>
      </c>
      <c r="P18" s="415" t="s">
        <v>34</v>
      </c>
      <c r="Q18" s="415" t="s">
        <v>34</v>
      </c>
    </row>
    <row r="19" spans="1:17" ht="13.15" customHeight="1">
      <c r="A19" s="12">
        <f t="shared" si="0"/>
        <v>2008</v>
      </c>
      <c r="B19" s="415">
        <v>2.2789999999999999</v>
      </c>
      <c r="C19" s="415">
        <v>1.468</v>
      </c>
      <c r="D19" s="415">
        <v>1.234</v>
      </c>
      <c r="E19" s="415">
        <v>1.1319999999999999</v>
      </c>
      <c r="F19" s="415">
        <v>1.083</v>
      </c>
      <c r="G19" s="415">
        <v>1.054</v>
      </c>
      <c r="H19" s="415">
        <v>1.04</v>
      </c>
      <c r="I19" s="415">
        <v>1.0249999999999999</v>
      </c>
      <c r="J19" s="415">
        <v>1.0209999999999999</v>
      </c>
      <c r="K19" s="415">
        <v>1.018</v>
      </c>
      <c r="L19" s="415">
        <v>1.014</v>
      </c>
      <c r="M19" s="415" t="s">
        <v>34</v>
      </c>
      <c r="N19" s="415" t="s">
        <v>34</v>
      </c>
      <c r="O19" s="415" t="s">
        <v>34</v>
      </c>
      <c r="P19" s="415" t="s">
        <v>34</v>
      </c>
      <c r="Q19" s="415" t="s">
        <v>34</v>
      </c>
    </row>
    <row r="20" spans="1:17" ht="13.15" customHeight="1">
      <c r="A20" s="12">
        <f t="shared" si="0"/>
        <v>2009</v>
      </c>
      <c r="B20" s="415">
        <v>2.3690000000000002</v>
      </c>
      <c r="C20" s="415">
        <v>1.4990000000000001</v>
      </c>
      <c r="D20" s="415">
        <v>1.238</v>
      </c>
      <c r="E20" s="415">
        <v>1.135</v>
      </c>
      <c r="F20" s="415">
        <v>1.0840000000000001</v>
      </c>
      <c r="G20" s="415">
        <v>1.056</v>
      </c>
      <c r="H20" s="415">
        <v>1.0389999999999999</v>
      </c>
      <c r="I20" s="415">
        <v>1.0289999999999999</v>
      </c>
      <c r="J20" s="415">
        <v>1.0229999999999999</v>
      </c>
      <c r="K20" s="415">
        <v>1.016</v>
      </c>
      <c r="L20" s="415" t="s">
        <v>34</v>
      </c>
      <c r="M20" s="415" t="s">
        <v>34</v>
      </c>
      <c r="N20" s="415" t="s">
        <v>34</v>
      </c>
      <c r="O20" s="415" t="s">
        <v>34</v>
      </c>
      <c r="P20" s="415" t="s">
        <v>34</v>
      </c>
      <c r="Q20" s="415" t="s">
        <v>34</v>
      </c>
    </row>
    <row r="21" spans="1:17" ht="13.15" customHeight="1">
      <c r="A21" s="12">
        <f t="shared" si="0"/>
        <v>2010</v>
      </c>
      <c r="B21" s="415">
        <v>2.399</v>
      </c>
      <c r="C21" s="415">
        <v>1.5049999999999999</v>
      </c>
      <c r="D21" s="415">
        <v>1.24</v>
      </c>
      <c r="E21" s="415">
        <v>1.129</v>
      </c>
      <c r="F21" s="415">
        <v>1.081</v>
      </c>
      <c r="G21" s="415">
        <v>1.0529999999999999</v>
      </c>
      <c r="H21" s="415">
        <v>1.036</v>
      </c>
      <c r="I21" s="415">
        <v>1.024</v>
      </c>
      <c r="J21" s="415">
        <v>1.0209999999999999</v>
      </c>
      <c r="K21" s="415" t="s">
        <v>34</v>
      </c>
      <c r="L21" s="415" t="s">
        <v>34</v>
      </c>
      <c r="M21" s="415" t="s">
        <v>34</v>
      </c>
      <c r="N21" s="415" t="s">
        <v>34</v>
      </c>
      <c r="O21" s="415" t="s">
        <v>34</v>
      </c>
      <c r="P21" s="415" t="s">
        <v>34</v>
      </c>
      <c r="Q21" s="415" t="s">
        <v>34</v>
      </c>
    </row>
    <row r="22" spans="1:17" ht="13.15" customHeight="1">
      <c r="A22" s="12">
        <f t="shared" si="0"/>
        <v>2011</v>
      </c>
      <c r="B22" s="415">
        <v>2.4329999999999998</v>
      </c>
      <c r="C22" s="415">
        <v>1.4810000000000001</v>
      </c>
      <c r="D22" s="415">
        <v>1.2270000000000001</v>
      </c>
      <c r="E22" s="415">
        <v>1.129</v>
      </c>
      <c r="F22" s="415">
        <v>1.0760000000000001</v>
      </c>
      <c r="G22" s="415">
        <v>1.0529999999999999</v>
      </c>
      <c r="H22" s="415">
        <v>1.038</v>
      </c>
      <c r="I22" s="415">
        <v>1.0229999999999999</v>
      </c>
      <c r="J22" s="415" t="s">
        <v>34</v>
      </c>
      <c r="K22" s="415" t="s">
        <v>34</v>
      </c>
      <c r="L22" s="415" t="s">
        <v>34</v>
      </c>
      <c r="M22" s="415" t="s">
        <v>34</v>
      </c>
      <c r="N22" s="415" t="s">
        <v>34</v>
      </c>
      <c r="O22" s="415" t="s">
        <v>34</v>
      </c>
      <c r="P22" s="415" t="s">
        <v>34</v>
      </c>
      <c r="Q22" s="415" t="s">
        <v>34</v>
      </c>
    </row>
    <row r="23" spans="1:17" ht="13.15" customHeight="1">
      <c r="A23" s="12">
        <f t="shared" si="0"/>
        <v>2012</v>
      </c>
      <c r="B23" s="415">
        <v>2.4239999999999999</v>
      </c>
      <c r="C23" s="415">
        <v>1.4770000000000001</v>
      </c>
      <c r="D23" s="415">
        <v>1.2190000000000001</v>
      </c>
      <c r="E23" s="415">
        <v>1.123</v>
      </c>
      <c r="F23" s="415">
        <v>1.075</v>
      </c>
      <c r="G23" s="415">
        <v>1.0469999999999999</v>
      </c>
      <c r="H23" s="415">
        <v>1.0309999999999999</v>
      </c>
      <c r="I23" s="415" t="s">
        <v>34</v>
      </c>
      <c r="J23" s="415" t="s">
        <v>34</v>
      </c>
      <c r="K23" s="415" t="s">
        <v>34</v>
      </c>
      <c r="L23" s="415" t="s">
        <v>34</v>
      </c>
      <c r="M23" s="415" t="s">
        <v>34</v>
      </c>
      <c r="N23" s="415" t="s">
        <v>34</v>
      </c>
      <c r="O23" s="415" t="s">
        <v>34</v>
      </c>
      <c r="P23" s="415" t="s">
        <v>34</v>
      </c>
      <c r="Q23" s="415" t="s">
        <v>34</v>
      </c>
    </row>
    <row r="24" spans="1:17" ht="13.15" customHeight="1">
      <c r="A24" s="12">
        <f t="shared" si="0"/>
        <v>2013</v>
      </c>
      <c r="B24" s="415">
        <v>2.3849999999999998</v>
      </c>
      <c r="C24" s="415">
        <v>1.49</v>
      </c>
      <c r="D24" s="415">
        <v>1.216</v>
      </c>
      <c r="E24" s="415">
        <v>1.111</v>
      </c>
      <c r="F24" s="415">
        <v>1.0629999999999999</v>
      </c>
      <c r="G24" s="415">
        <v>1.038</v>
      </c>
      <c r="H24" s="415" t="s">
        <v>34</v>
      </c>
      <c r="I24" s="415" t="s">
        <v>34</v>
      </c>
      <c r="J24" s="415" t="s">
        <v>34</v>
      </c>
      <c r="K24" s="415" t="s">
        <v>34</v>
      </c>
      <c r="L24" s="415" t="s">
        <v>34</v>
      </c>
      <c r="M24" s="415" t="s">
        <v>34</v>
      </c>
      <c r="N24" s="415" t="s">
        <v>34</v>
      </c>
      <c r="O24" s="415" t="s">
        <v>34</v>
      </c>
      <c r="P24" s="415" t="s">
        <v>34</v>
      </c>
      <c r="Q24" s="415" t="s">
        <v>34</v>
      </c>
    </row>
    <row r="25" spans="1:17" ht="13.15" customHeight="1">
      <c r="A25" s="12">
        <f t="shared" si="0"/>
        <v>2014</v>
      </c>
      <c r="B25" s="415">
        <v>2.4550000000000001</v>
      </c>
      <c r="C25" s="415">
        <v>1.5009999999999999</v>
      </c>
      <c r="D25" s="415">
        <v>1.2150000000000001</v>
      </c>
      <c r="E25" s="415">
        <v>1.109</v>
      </c>
      <c r="F25" s="415">
        <v>1.0620000000000001</v>
      </c>
      <c r="G25" s="415" t="s">
        <v>34</v>
      </c>
      <c r="H25" s="415" t="s">
        <v>34</v>
      </c>
      <c r="I25" s="415" t="s">
        <v>34</v>
      </c>
      <c r="J25" s="415" t="s">
        <v>34</v>
      </c>
      <c r="K25" s="415" t="s">
        <v>34</v>
      </c>
      <c r="L25" s="415" t="s">
        <v>34</v>
      </c>
      <c r="M25" s="415" t="s">
        <v>34</v>
      </c>
      <c r="N25" s="415" t="s">
        <v>34</v>
      </c>
      <c r="O25" s="415" t="s">
        <v>34</v>
      </c>
      <c r="P25" s="415" t="s">
        <v>34</v>
      </c>
      <c r="Q25" s="415" t="s">
        <v>34</v>
      </c>
    </row>
    <row r="26" spans="1:17" ht="13.15" customHeight="1">
      <c r="A26" s="12">
        <f t="shared" si="0"/>
        <v>2015</v>
      </c>
      <c r="B26" s="415">
        <v>2.468</v>
      </c>
      <c r="C26" s="415">
        <v>1.476</v>
      </c>
      <c r="D26" s="415">
        <v>1.202</v>
      </c>
      <c r="E26" s="415">
        <v>1.1000000000000001</v>
      </c>
      <c r="F26" s="415" t="s">
        <v>34</v>
      </c>
      <c r="G26" s="415" t="s">
        <v>34</v>
      </c>
      <c r="H26" s="415" t="s">
        <v>34</v>
      </c>
      <c r="I26" s="415" t="s">
        <v>34</v>
      </c>
      <c r="J26" s="415" t="s">
        <v>34</v>
      </c>
      <c r="K26" s="415" t="s">
        <v>34</v>
      </c>
      <c r="L26" s="415" t="s">
        <v>34</v>
      </c>
      <c r="M26" s="415" t="s">
        <v>34</v>
      </c>
      <c r="N26" s="415" t="s">
        <v>34</v>
      </c>
      <c r="O26" s="415" t="s">
        <v>34</v>
      </c>
      <c r="P26" s="415" t="s">
        <v>34</v>
      </c>
      <c r="Q26" s="415" t="s">
        <v>34</v>
      </c>
    </row>
    <row r="27" spans="1:17" ht="13.15" customHeight="1">
      <c r="A27" s="12">
        <f t="shared" si="0"/>
        <v>2016</v>
      </c>
      <c r="B27" s="415">
        <v>2.403</v>
      </c>
      <c r="C27" s="415">
        <v>1.4590000000000001</v>
      </c>
      <c r="D27" s="415">
        <v>1.1879999999999999</v>
      </c>
      <c r="E27" s="415" t="s">
        <v>34</v>
      </c>
      <c r="F27" s="415" t="s">
        <v>34</v>
      </c>
      <c r="G27" s="415" t="s">
        <v>34</v>
      </c>
      <c r="H27" s="415" t="s">
        <v>34</v>
      </c>
      <c r="I27" s="415" t="s">
        <v>34</v>
      </c>
      <c r="J27" s="415" t="s">
        <v>34</v>
      </c>
      <c r="K27" s="415" t="s">
        <v>34</v>
      </c>
      <c r="L27" s="415" t="s">
        <v>34</v>
      </c>
      <c r="M27" s="415" t="s">
        <v>34</v>
      </c>
      <c r="N27" s="415" t="s">
        <v>34</v>
      </c>
      <c r="O27" s="415" t="s">
        <v>34</v>
      </c>
      <c r="P27" s="415" t="s">
        <v>34</v>
      </c>
      <c r="Q27" s="415" t="s">
        <v>34</v>
      </c>
    </row>
    <row r="28" spans="1:17" ht="13.15" customHeight="1">
      <c r="A28" s="12">
        <f t="shared" si="0"/>
        <v>2017</v>
      </c>
      <c r="B28" s="415">
        <v>2.39</v>
      </c>
      <c r="C28" s="415">
        <v>1.4410000000000001</v>
      </c>
      <c r="D28" s="415" t="s">
        <v>34</v>
      </c>
      <c r="E28" s="415" t="s">
        <v>34</v>
      </c>
      <c r="F28" s="415" t="s">
        <v>34</v>
      </c>
      <c r="G28" s="415" t="s">
        <v>34</v>
      </c>
      <c r="H28" s="415" t="s">
        <v>34</v>
      </c>
      <c r="I28" s="415" t="s">
        <v>34</v>
      </c>
      <c r="J28" s="415" t="s">
        <v>34</v>
      </c>
      <c r="K28" s="415" t="s">
        <v>34</v>
      </c>
      <c r="L28" s="415" t="s">
        <v>34</v>
      </c>
      <c r="M28" s="415" t="s">
        <v>34</v>
      </c>
      <c r="N28" s="415" t="s">
        <v>34</v>
      </c>
      <c r="O28" s="415" t="s">
        <v>34</v>
      </c>
      <c r="P28" s="415" t="s">
        <v>34</v>
      </c>
      <c r="Q28" s="415" t="s">
        <v>34</v>
      </c>
    </row>
    <row r="29" spans="1:17" ht="13.15" customHeight="1">
      <c r="A29" s="12">
        <f>'Exhibit 2.2.1'!A29</f>
        <v>2018</v>
      </c>
      <c r="B29" s="415">
        <v>2.3450000000000002</v>
      </c>
      <c r="C29" s="415" t="s">
        <v>34</v>
      </c>
      <c r="D29" s="415" t="s">
        <v>34</v>
      </c>
      <c r="E29" s="415" t="s">
        <v>34</v>
      </c>
      <c r="F29" s="415" t="s">
        <v>34</v>
      </c>
      <c r="G29" s="415" t="s">
        <v>34</v>
      </c>
      <c r="H29" s="415" t="s">
        <v>34</v>
      </c>
      <c r="I29" s="415" t="s">
        <v>34</v>
      </c>
      <c r="J29" s="415" t="s">
        <v>34</v>
      </c>
      <c r="K29" s="415" t="s">
        <v>34</v>
      </c>
      <c r="L29" s="415" t="s">
        <v>34</v>
      </c>
      <c r="M29" s="415" t="s">
        <v>34</v>
      </c>
      <c r="N29" s="415" t="s">
        <v>34</v>
      </c>
      <c r="O29" s="415" t="s">
        <v>34</v>
      </c>
      <c r="P29" s="415" t="s">
        <v>34</v>
      </c>
      <c r="Q29" s="415" t="s">
        <v>34</v>
      </c>
    </row>
    <row r="30" spans="1:17" ht="13.15" customHeight="1">
      <c r="A30" s="122"/>
      <c r="B30" s="167"/>
      <c r="C30" s="122"/>
      <c r="D30" s="122"/>
      <c r="E30" s="122"/>
      <c r="F30" s="122"/>
      <c r="G30" s="122"/>
      <c r="H30" s="122"/>
      <c r="I30" s="122"/>
      <c r="J30" s="122"/>
      <c r="K30" s="122"/>
      <c r="L30" s="122"/>
      <c r="M30" s="122"/>
      <c r="N30" s="122"/>
      <c r="O30" s="122"/>
      <c r="P30" s="122"/>
      <c r="Q30" s="224"/>
    </row>
    <row r="31" spans="1:17" ht="13.15" customHeight="1">
      <c r="A31" s="12" t="s">
        <v>20</v>
      </c>
      <c r="B31" s="16">
        <f ca="1">OFFSET(B$30,-COUNTA($B$4:B$4),0)</f>
        <v>2.3450000000000002</v>
      </c>
      <c r="C31" s="16">
        <f ca="1">OFFSET(C$30,-COUNTA($B$4:C$4),0)</f>
        <v>1.4410000000000001</v>
      </c>
      <c r="D31" s="16">
        <f ca="1">OFFSET(D$30,-COUNTA($B$4:D$4),0)</f>
        <v>1.1879999999999999</v>
      </c>
      <c r="E31" s="16">
        <f ca="1">OFFSET(E$30,-COUNTA($B$4:E$4),0)</f>
        <v>1.1000000000000001</v>
      </c>
      <c r="F31" s="16">
        <f ca="1">OFFSET(F$30,-COUNTA($B$4:F$4),0)</f>
        <v>1.0620000000000001</v>
      </c>
      <c r="G31" s="16">
        <f ca="1">OFFSET(G$30,-COUNTA($B$4:G$4),0)</f>
        <v>1.038</v>
      </c>
      <c r="H31" s="16">
        <f ca="1">OFFSET(H$30,-COUNTA($B$4:H$4),0)</f>
        <v>1.0309999999999999</v>
      </c>
      <c r="I31" s="16">
        <f ca="1">OFFSET(I$30,-COUNTA($B$4:I$4),0)</f>
        <v>1.0229999999999999</v>
      </c>
      <c r="J31" s="16">
        <f ca="1">AVERAGE(OFFSET(J$28:J$30,-COUNTA($B$4:J$4),0))</f>
        <v>1.0216666666666665</v>
      </c>
      <c r="K31" s="16">
        <f ca="1">AVERAGE(OFFSET(K$28:K$30,-COUNTA($B$4:K$4),0))</f>
        <v>1.0170000000000001</v>
      </c>
      <c r="L31" s="16">
        <f ca="1">AVERAGE(OFFSET(L$28:L$30,-COUNTA($B$4:L$4),0))</f>
        <v>1.0149999999999999</v>
      </c>
      <c r="M31" s="16">
        <f ca="1">AVERAGE(OFFSET(M$28:M$30,-COUNTA($B$4:M$4),0))</f>
        <v>1.0119999999999998</v>
      </c>
      <c r="N31" s="16">
        <f ca="1">AVERAGE(OFFSET(N$28:N$30,-COUNTA($B$4:N$4),0))</f>
        <v>1.0093333333333332</v>
      </c>
      <c r="O31" s="16">
        <f ca="1">AVERAGE(OFFSET(O$28:O$30,-COUNTA($B$4:O$4),0))</f>
        <v>1.0086666666666666</v>
      </c>
      <c r="P31" s="16">
        <f ca="1">AVERAGE(OFFSET(P$28:P$30,-COUNTA($B$4:P$4),0))</f>
        <v>1.0069999999999999</v>
      </c>
      <c r="Q31" s="16">
        <f ca="1">AVERAGE(OFFSET(Q$28:Q$30,-COUNTA($B$4:Q$4),0))</f>
        <v>1.0056666666666665</v>
      </c>
    </row>
    <row r="32" spans="1:17" ht="13.15" customHeight="1">
      <c r="A32" s="12" t="s">
        <v>21</v>
      </c>
      <c r="B32" s="13">
        <f t="shared" ref="B32:O32" ca="1" si="1">C32*B31</f>
        <v>5.8602186545429165</v>
      </c>
      <c r="C32" s="13">
        <f t="shared" ca="1" si="1"/>
        <v>2.4990271447944203</v>
      </c>
      <c r="D32" s="13">
        <f t="shared" ca="1" si="1"/>
        <v>1.7342311900030676</v>
      </c>
      <c r="E32" s="13">
        <f t="shared" ca="1" si="1"/>
        <v>1.4597905639756461</v>
      </c>
      <c r="F32" s="13">
        <f t="shared" ca="1" si="1"/>
        <v>1.3270823308869508</v>
      </c>
      <c r="G32" s="13">
        <f t="shared" ca="1" si="1"/>
        <v>1.2496067145828162</v>
      </c>
      <c r="H32" s="13">
        <f t="shared" ca="1" si="1"/>
        <v>1.2038600333167786</v>
      </c>
      <c r="I32" s="13">
        <f t="shared" ca="1" si="1"/>
        <v>1.1676624959425594</v>
      </c>
      <c r="J32" s="13">
        <f t="shared" ca="1" si="1"/>
        <v>1.1414100644599801</v>
      </c>
      <c r="K32" s="13">
        <f t="shared" ca="1" si="1"/>
        <v>1.1172039782642547</v>
      </c>
      <c r="L32" s="13">
        <f t="shared" ca="1" si="1"/>
        <v>1.0985289855105747</v>
      </c>
      <c r="M32" s="13">
        <f t="shared" ca="1" si="1"/>
        <v>1.0822945670054924</v>
      </c>
      <c r="N32" s="13">
        <f t="shared" ca="1" si="1"/>
        <v>1.0694610345904079</v>
      </c>
      <c r="O32" s="13">
        <f t="shared" ca="1" si="1"/>
        <v>1.059571698735543</v>
      </c>
      <c r="P32" s="13">
        <f ca="1">Q32*P31</f>
        <v>1.0504676458052311</v>
      </c>
      <c r="Q32" s="13">
        <f ca="1">'Exhibit 2.3.2'!B28*'Exhibit 2.3.1'!Q31</f>
        <v>1.0431654873934768</v>
      </c>
    </row>
    <row r="33" spans="1:17">
      <c r="A33" s="122"/>
      <c r="B33" s="167"/>
      <c r="C33" s="122"/>
      <c r="D33" s="122"/>
      <c r="E33" s="122"/>
      <c r="F33" s="122"/>
      <c r="G33" s="122"/>
      <c r="H33" s="122"/>
      <c r="I33" s="122"/>
      <c r="J33" s="122"/>
      <c r="K33" s="122"/>
      <c r="L33" s="122"/>
      <c r="M33" s="122"/>
      <c r="N33" s="122"/>
      <c r="O33" s="122"/>
      <c r="P33" s="122"/>
      <c r="Q33" s="122"/>
    </row>
    <row r="34" spans="1:17" ht="12.75" customHeight="1">
      <c r="A34" s="9" t="s">
        <v>22</v>
      </c>
      <c r="B34" s="160" t="s">
        <v>554</v>
      </c>
      <c r="C34" s="283"/>
      <c r="D34" s="283"/>
      <c r="E34" s="283"/>
      <c r="F34" s="283"/>
      <c r="G34" s="283"/>
      <c r="H34" s="283"/>
      <c r="I34" s="283"/>
      <c r="J34" s="283"/>
      <c r="K34" s="283"/>
      <c r="L34" s="283"/>
      <c r="M34" s="283"/>
      <c r="N34" s="283"/>
      <c r="O34" s="283"/>
      <c r="P34" s="283"/>
    </row>
  </sheetData>
  <pageMargins left="0.7" right="0.7" top="0.75" bottom="0.75" header="0.3" footer="0.3"/>
  <pageSetup scale="81" orientation="landscape" blackAndWhite="1"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31"/>
  <sheetViews>
    <sheetView zoomScaleNormal="100" zoomScaleSheetLayoutView="100" workbookViewId="0"/>
  </sheetViews>
  <sheetFormatPr defaultColWidth="9.1328125" defaultRowHeight="12.75"/>
  <cols>
    <col min="1" max="1" width="12.73046875" style="110" bestFit="1" customWidth="1"/>
    <col min="2" max="19" width="7.73046875" style="110" customWidth="1"/>
    <col min="20" max="20" width="13.73046875" style="110" customWidth="1"/>
    <col min="21" max="16384" width="9.1328125" style="110"/>
  </cols>
  <sheetData>
    <row r="1" spans="1:20" ht="14.45" customHeight="1">
      <c r="A1" s="274" t="s">
        <v>33</v>
      </c>
      <c r="B1" s="274"/>
      <c r="C1" s="274"/>
      <c r="D1" s="274"/>
      <c r="E1" s="274"/>
      <c r="F1" s="274"/>
      <c r="G1" s="274"/>
      <c r="H1" s="274"/>
      <c r="I1" s="274"/>
      <c r="J1" s="274"/>
      <c r="K1" s="274"/>
      <c r="L1" s="274"/>
      <c r="M1" s="274"/>
      <c r="N1" s="274"/>
      <c r="O1" s="274"/>
      <c r="P1" s="274"/>
      <c r="Q1" s="274"/>
      <c r="R1" s="274"/>
      <c r="S1" s="274"/>
      <c r="T1" s="274"/>
    </row>
    <row r="2" spans="1:20" ht="13.15">
      <c r="A2" s="251"/>
      <c r="B2" s="247"/>
      <c r="C2" s="248"/>
      <c r="D2" s="248"/>
      <c r="E2" s="248"/>
      <c r="F2" s="248"/>
      <c r="G2" s="248"/>
      <c r="H2" s="248"/>
      <c r="I2" s="248"/>
      <c r="J2" s="248"/>
      <c r="K2" s="248"/>
      <c r="L2" s="248"/>
      <c r="M2" s="248"/>
      <c r="N2" s="248"/>
      <c r="O2" s="248"/>
      <c r="P2" s="248"/>
      <c r="Q2" s="251"/>
      <c r="R2" s="266"/>
      <c r="S2" s="321"/>
    </row>
    <row r="3" spans="1:20">
      <c r="A3" s="251"/>
      <c r="B3" s="282" t="s">
        <v>18</v>
      </c>
      <c r="C3" s="282"/>
      <c r="D3" s="282"/>
      <c r="E3" s="282"/>
      <c r="F3" s="282"/>
      <c r="G3" s="282"/>
      <c r="H3" s="282"/>
      <c r="I3" s="282"/>
      <c r="J3" s="282"/>
      <c r="K3" s="282"/>
      <c r="L3" s="282"/>
      <c r="M3" s="282"/>
      <c r="N3" s="282"/>
      <c r="O3" s="282"/>
      <c r="P3" s="282"/>
      <c r="Q3" s="282"/>
      <c r="R3" s="282"/>
      <c r="S3" s="282"/>
      <c r="T3" s="282"/>
    </row>
    <row r="4" spans="1:20">
      <c r="A4" s="11" t="s">
        <v>19</v>
      </c>
      <c r="B4" s="11" t="s">
        <v>486</v>
      </c>
      <c r="C4" s="11" t="s">
        <v>487</v>
      </c>
      <c r="D4" s="11" t="s">
        <v>488</v>
      </c>
      <c r="E4" s="11" t="s">
        <v>489</v>
      </c>
      <c r="F4" s="11" t="s">
        <v>490</v>
      </c>
      <c r="G4" s="11" t="s">
        <v>491</v>
      </c>
      <c r="H4" s="11" t="s">
        <v>492</v>
      </c>
      <c r="I4" s="11" t="s">
        <v>493</v>
      </c>
      <c r="J4" s="11" t="s">
        <v>494</v>
      </c>
      <c r="K4" s="11" t="s">
        <v>495</v>
      </c>
      <c r="L4" s="11" t="s">
        <v>496</v>
      </c>
      <c r="M4" s="11" t="s">
        <v>497</v>
      </c>
      <c r="N4" s="11" t="s">
        <v>498</v>
      </c>
      <c r="O4" s="11" t="s">
        <v>499</v>
      </c>
      <c r="P4" s="11" t="s">
        <v>500</v>
      </c>
      <c r="Q4" s="11" t="s">
        <v>501</v>
      </c>
      <c r="R4" s="11" t="s">
        <v>502</v>
      </c>
      <c r="S4" s="19" t="s">
        <v>503</v>
      </c>
      <c r="T4" s="19" t="s">
        <v>509</v>
      </c>
    </row>
    <row r="5" spans="1:20">
      <c r="A5" s="1">
        <f t="shared" ref="A5:A23" si="0">+A6-1</f>
        <v>1983</v>
      </c>
      <c r="B5" s="415" t="s">
        <v>34</v>
      </c>
      <c r="C5" s="415" t="s">
        <v>34</v>
      </c>
      <c r="D5" s="415" t="s">
        <v>34</v>
      </c>
      <c r="E5" s="415" t="s">
        <v>34</v>
      </c>
      <c r="F5" s="415" t="s">
        <v>34</v>
      </c>
      <c r="G5" s="415">
        <v>1.0029999999999999</v>
      </c>
      <c r="H5" s="415">
        <v>1.0009999999999999</v>
      </c>
      <c r="I5" s="415">
        <v>1.0009999999999999</v>
      </c>
      <c r="J5" s="415">
        <v>1.0009999999999999</v>
      </c>
      <c r="K5" s="415">
        <v>1.0009999999999999</v>
      </c>
      <c r="L5" s="415">
        <v>1.0009999999999999</v>
      </c>
      <c r="M5" s="415">
        <v>1.0009999999999999</v>
      </c>
      <c r="N5" s="415">
        <v>1.0009999999999999</v>
      </c>
      <c r="O5" s="415">
        <v>1.0009999999999999</v>
      </c>
      <c r="P5" s="415">
        <v>1.0009999999999999</v>
      </c>
      <c r="Q5" s="415">
        <v>1.0009999999999999</v>
      </c>
      <c r="R5" s="415">
        <v>1.0009999999999999</v>
      </c>
      <c r="S5" s="21">
        <v>1.0009999999999999</v>
      </c>
      <c r="T5" s="112"/>
    </row>
    <row r="6" spans="1:20">
      <c r="A6" s="1">
        <f t="shared" si="0"/>
        <v>1984</v>
      </c>
      <c r="B6" s="415" t="s">
        <v>34</v>
      </c>
      <c r="C6" s="415" t="s">
        <v>34</v>
      </c>
      <c r="D6" s="415" t="s">
        <v>34</v>
      </c>
      <c r="E6" s="415" t="s">
        <v>34</v>
      </c>
      <c r="F6" s="415">
        <v>1.0009999999999999</v>
      </c>
      <c r="G6" s="415">
        <v>1.0009999999999999</v>
      </c>
      <c r="H6" s="415">
        <v>1.0009999999999999</v>
      </c>
      <c r="I6" s="415">
        <v>1.0009999999999999</v>
      </c>
      <c r="J6" s="415">
        <v>1.0009999999999999</v>
      </c>
      <c r="K6" s="415">
        <v>1.0009999999999999</v>
      </c>
      <c r="L6" s="415">
        <v>1.0009999999999999</v>
      </c>
      <c r="M6" s="415">
        <v>1.0009999999999999</v>
      </c>
      <c r="N6" s="415">
        <v>1.0009999999999999</v>
      </c>
      <c r="O6" s="415">
        <v>1</v>
      </c>
      <c r="P6" s="415">
        <v>1</v>
      </c>
      <c r="Q6" s="415">
        <v>1.0009999999999999</v>
      </c>
      <c r="R6" s="415">
        <v>1</v>
      </c>
      <c r="S6" s="21">
        <v>1.0009999999999999</v>
      </c>
      <c r="T6" s="112"/>
    </row>
    <row r="7" spans="1:20">
      <c r="A7" s="1">
        <f t="shared" si="0"/>
        <v>1985</v>
      </c>
      <c r="B7" s="415" t="s">
        <v>34</v>
      </c>
      <c r="C7" s="415" t="s">
        <v>34</v>
      </c>
      <c r="D7" s="415" t="s">
        <v>34</v>
      </c>
      <c r="E7" s="415">
        <v>1.0009999999999999</v>
      </c>
      <c r="F7" s="415">
        <v>1.0009999999999999</v>
      </c>
      <c r="G7" s="415">
        <v>1.0009999999999999</v>
      </c>
      <c r="H7" s="415">
        <v>1.0009999999999999</v>
      </c>
      <c r="I7" s="415">
        <v>1.0009999999999999</v>
      </c>
      <c r="J7" s="415">
        <v>1.0009999999999999</v>
      </c>
      <c r="K7" s="415">
        <v>1.0009999999999999</v>
      </c>
      <c r="L7" s="415">
        <v>1.002</v>
      </c>
      <c r="M7" s="415">
        <v>1.0009999999999999</v>
      </c>
      <c r="N7" s="415">
        <v>1.0009999999999999</v>
      </c>
      <c r="O7" s="415">
        <v>1.0009999999999999</v>
      </c>
      <c r="P7" s="415">
        <v>1.0009999999999999</v>
      </c>
      <c r="Q7" s="415">
        <v>1</v>
      </c>
      <c r="R7" s="415">
        <v>1</v>
      </c>
      <c r="S7" s="21">
        <v>1</v>
      </c>
      <c r="T7" s="112"/>
    </row>
    <row r="8" spans="1:20">
      <c r="A8" s="1">
        <f t="shared" si="0"/>
        <v>1986</v>
      </c>
      <c r="B8" s="415" t="s">
        <v>34</v>
      </c>
      <c r="C8" s="415" t="s">
        <v>34</v>
      </c>
      <c r="D8" s="415">
        <v>1.0009999999999999</v>
      </c>
      <c r="E8" s="415">
        <v>1.0009999999999999</v>
      </c>
      <c r="F8" s="415">
        <v>1.0009999999999999</v>
      </c>
      <c r="G8" s="415">
        <v>1.0009999999999999</v>
      </c>
      <c r="H8" s="415">
        <v>1.002</v>
      </c>
      <c r="I8" s="415">
        <v>1.0009999999999999</v>
      </c>
      <c r="J8" s="415">
        <v>1.0009999999999999</v>
      </c>
      <c r="K8" s="415">
        <v>1.0009999999999999</v>
      </c>
      <c r="L8" s="415">
        <v>1.0009999999999999</v>
      </c>
      <c r="M8" s="415">
        <v>1.0009999999999999</v>
      </c>
      <c r="N8" s="415">
        <v>1.0009999999999999</v>
      </c>
      <c r="O8" s="415">
        <v>1.0009999999999999</v>
      </c>
      <c r="P8" s="415">
        <v>1.0009999999999999</v>
      </c>
      <c r="Q8" s="415">
        <v>1</v>
      </c>
      <c r="R8" s="415">
        <v>1.0009999999999999</v>
      </c>
      <c r="S8" s="21" t="s">
        <v>34</v>
      </c>
      <c r="T8" s="112"/>
    </row>
    <row r="9" spans="1:20">
      <c r="A9" s="1">
        <f t="shared" si="0"/>
        <v>1987</v>
      </c>
      <c r="B9" s="415" t="s">
        <v>34</v>
      </c>
      <c r="C9" s="415">
        <v>1.002</v>
      </c>
      <c r="D9" s="415">
        <v>1.0009999999999999</v>
      </c>
      <c r="E9" s="415">
        <v>1.0009999999999999</v>
      </c>
      <c r="F9" s="415">
        <v>1.0009999999999999</v>
      </c>
      <c r="G9" s="415">
        <v>1.0009999999999999</v>
      </c>
      <c r="H9" s="415">
        <v>1.0009999999999999</v>
      </c>
      <c r="I9" s="415">
        <v>1.0009999999999999</v>
      </c>
      <c r="J9" s="415">
        <v>1.002</v>
      </c>
      <c r="K9" s="415">
        <v>1.0009999999999999</v>
      </c>
      <c r="L9" s="415">
        <v>1.0009999999999999</v>
      </c>
      <c r="M9" s="415">
        <v>1.0009999999999999</v>
      </c>
      <c r="N9" s="415">
        <v>1</v>
      </c>
      <c r="O9" s="415">
        <v>1.0009999999999999</v>
      </c>
      <c r="P9" s="415">
        <v>1.0009999999999999</v>
      </c>
      <c r="Q9" s="415">
        <v>1.0009999999999999</v>
      </c>
      <c r="R9" s="415" t="s">
        <v>34</v>
      </c>
      <c r="S9" s="21" t="s">
        <v>34</v>
      </c>
      <c r="T9" s="112"/>
    </row>
    <row r="10" spans="1:20">
      <c r="A10" s="1">
        <f t="shared" si="0"/>
        <v>1988</v>
      </c>
      <c r="B10" s="415">
        <v>1.0009999999999999</v>
      </c>
      <c r="C10" s="415">
        <v>1.0009999999999999</v>
      </c>
      <c r="D10" s="415">
        <v>1.002</v>
      </c>
      <c r="E10" s="415">
        <v>1.0009999999999999</v>
      </c>
      <c r="F10" s="415">
        <v>1.0009999999999999</v>
      </c>
      <c r="G10" s="415">
        <v>1.002</v>
      </c>
      <c r="H10" s="415">
        <v>1.002</v>
      </c>
      <c r="I10" s="415">
        <v>1.0009999999999999</v>
      </c>
      <c r="J10" s="415">
        <v>1.0009999999999999</v>
      </c>
      <c r="K10" s="415">
        <v>1.0009999999999999</v>
      </c>
      <c r="L10" s="415">
        <v>1.0009999999999999</v>
      </c>
      <c r="M10" s="415">
        <v>1</v>
      </c>
      <c r="N10" s="415">
        <v>1.0009999999999999</v>
      </c>
      <c r="O10" s="415">
        <v>1.0009999999999999</v>
      </c>
      <c r="P10" s="415">
        <v>1.0009999999999999</v>
      </c>
      <c r="Q10" s="415" t="s">
        <v>34</v>
      </c>
      <c r="R10" s="415" t="s">
        <v>34</v>
      </c>
      <c r="S10" s="21" t="s">
        <v>34</v>
      </c>
      <c r="T10" s="112"/>
    </row>
    <row r="11" spans="1:20">
      <c r="A11" s="1">
        <f t="shared" si="0"/>
        <v>1989</v>
      </c>
      <c r="B11" s="415">
        <v>1.002</v>
      </c>
      <c r="C11" s="415">
        <v>1.002</v>
      </c>
      <c r="D11" s="415">
        <v>1.0009999999999999</v>
      </c>
      <c r="E11" s="415">
        <v>1.0009999999999999</v>
      </c>
      <c r="F11" s="415">
        <v>1.0009999999999999</v>
      </c>
      <c r="G11" s="415">
        <v>1.002</v>
      </c>
      <c r="H11" s="415">
        <v>1.0009999999999999</v>
      </c>
      <c r="I11" s="415">
        <v>1.0009999999999999</v>
      </c>
      <c r="J11" s="415">
        <v>1.0009999999999999</v>
      </c>
      <c r="K11" s="415">
        <v>1.0009999999999999</v>
      </c>
      <c r="L11" s="415">
        <v>1.0009999999999999</v>
      </c>
      <c r="M11" s="415">
        <v>1.0009999999999999</v>
      </c>
      <c r="N11" s="415">
        <v>1.0009999999999999</v>
      </c>
      <c r="O11" s="415">
        <v>1</v>
      </c>
      <c r="P11" s="415" t="s">
        <v>34</v>
      </c>
      <c r="Q11" s="415" t="s">
        <v>34</v>
      </c>
      <c r="R11" s="415" t="s">
        <v>34</v>
      </c>
      <c r="S11" s="21" t="s">
        <v>34</v>
      </c>
      <c r="T11" s="112"/>
    </row>
    <row r="12" spans="1:20">
      <c r="A12" s="1">
        <f t="shared" si="0"/>
        <v>1990</v>
      </c>
      <c r="B12" s="415">
        <v>1.002</v>
      </c>
      <c r="C12" s="415">
        <v>1.0009999999999999</v>
      </c>
      <c r="D12" s="415">
        <v>1.0009999999999999</v>
      </c>
      <c r="E12" s="415">
        <v>1.0009999999999999</v>
      </c>
      <c r="F12" s="415">
        <v>1.0009999999999999</v>
      </c>
      <c r="G12" s="415">
        <v>1.0009999999999999</v>
      </c>
      <c r="H12" s="415">
        <v>1.0009999999999999</v>
      </c>
      <c r="I12" s="415">
        <v>1.0009999999999999</v>
      </c>
      <c r="J12" s="415">
        <v>1.0009999999999999</v>
      </c>
      <c r="K12" s="415">
        <v>1</v>
      </c>
      <c r="L12" s="415">
        <v>1</v>
      </c>
      <c r="M12" s="415">
        <v>1.0009999999999999</v>
      </c>
      <c r="N12" s="415">
        <v>1.0009999999999999</v>
      </c>
      <c r="O12" s="415" t="s">
        <v>34</v>
      </c>
      <c r="P12" s="415" t="s">
        <v>34</v>
      </c>
      <c r="Q12" s="415" t="s">
        <v>34</v>
      </c>
      <c r="R12" s="415" t="s">
        <v>34</v>
      </c>
      <c r="S12" s="21" t="s">
        <v>34</v>
      </c>
      <c r="T12" s="112"/>
    </row>
    <row r="13" spans="1:20">
      <c r="A13" s="1">
        <f t="shared" si="0"/>
        <v>1991</v>
      </c>
      <c r="B13" s="415">
        <v>1.002</v>
      </c>
      <c r="C13" s="415">
        <v>1.002</v>
      </c>
      <c r="D13" s="415">
        <v>1.0009999999999999</v>
      </c>
      <c r="E13" s="415">
        <v>1.0009999999999999</v>
      </c>
      <c r="F13" s="415">
        <v>1.002</v>
      </c>
      <c r="G13" s="415">
        <v>1.0009999999999999</v>
      </c>
      <c r="H13" s="415">
        <v>1.0009999999999999</v>
      </c>
      <c r="I13" s="415">
        <v>1.0009999999999999</v>
      </c>
      <c r="J13" s="415">
        <v>1.0009999999999999</v>
      </c>
      <c r="K13" s="415">
        <v>1.0009999999999999</v>
      </c>
      <c r="L13" s="415">
        <v>1.0009999999999999</v>
      </c>
      <c r="M13" s="415">
        <v>1.0009999999999999</v>
      </c>
      <c r="N13" s="415" t="s">
        <v>34</v>
      </c>
      <c r="O13" s="415" t="s">
        <v>34</v>
      </c>
      <c r="P13" s="415" t="s">
        <v>34</v>
      </c>
      <c r="Q13" s="415" t="s">
        <v>34</v>
      </c>
      <c r="R13" s="415" t="s">
        <v>34</v>
      </c>
      <c r="S13" s="21" t="s">
        <v>34</v>
      </c>
      <c r="T13" s="112"/>
    </row>
    <row r="14" spans="1:20">
      <c r="A14" s="1">
        <f t="shared" si="0"/>
        <v>1992</v>
      </c>
      <c r="B14" s="415">
        <v>1.0009999999999999</v>
      </c>
      <c r="C14" s="415">
        <v>1.002</v>
      </c>
      <c r="D14" s="415">
        <v>1.002</v>
      </c>
      <c r="E14" s="415">
        <v>1.002</v>
      </c>
      <c r="F14" s="415">
        <v>1.002</v>
      </c>
      <c r="G14" s="415">
        <v>1.0009999999999999</v>
      </c>
      <c r="H14" s="415">
        <v>1.0009999999999999</v>
      </c>
      <c r="I14" s="415">
        <v>1.0009999999999999</v>
      </c>
      <c r="J14" s="415">
        <v>1.0009999999999999</v>
      </c>
      <c r="K14" s="415">
        <v>1.0009999999999999</v>
      </c>
      <c r="L14" s="415">
        <v>1.0009999999999999</v>
      </c>
      <c r="M14" s="415" t="s">
        <v>34</v>
      </c>
      <c r="N14" s="415" t="s">
        <v>34</v>
      </c>
      <c r="O14" s="415" t="s">
        <v>34</v>
      </c>
      <c r="P14" s="415" t="s">
        <v>34</v>
      </c>
      <c r="Q14" s="415" t="s">
        <v>34</v>
      </c>
      <c r="R14" s="415" t="s">
        <v>34</v>
      </c>
      <c r="S14" s="21" t="s">
        <v>34</v>
      </c>
      <c r="T14" s="112"/>
    </row>
    <row r="15" spans="1:20">
      <c r="A15" s="1">
        <f t="shared" si="0"/>
        <v>1993</v>
      </c>
      <c r="B15" s="415">
        <v>1.002</v>
      </c>
      <c r="C15" s="415">
        <v>1.0029999999999999</v>
      </c>
      <c r="D15" s="415">
        <v>1.002</v>
      </c>
      <c r="E15" s="415">
        <v>1.002</v>
      </c>
      <c r="F15" s="415">
        <v>1.002</v>
      </c>
      <c r="G15" s="415">
        <v>1.0009999999999999</v>
      </c>
      <c r="H15" s="415">
        <v>1.0009999999999999</v>
      </c>
      <c r="I15" s="415">
        <v>1.0009999999999999</v>
      </c>
      <c r="J15" s="415">
        <v>1.0009999999999999</v>
      </c>
      <c r="K15" s="415">
        <v>1.0009999999999999</v>
      </c>
      <c r="L15" s="415" t="s">
        <v>34</v>
      </c>
      <c r="M15" s="415" t="s">
        <v>34</v>
      </c>
      <c r="N15" s="415" t="s">
        <v>34</v>
      </c>
      <c r="O15" s="415" t="s">
        <v>34</v>
      </c>
      <c r="P15" s="415" t="s">
        <v>34</v>
      </c>
      <c r="Q15" s="415" t="s">
        <v>34</v>
      </c>
      <c r="R15" s="415" t="s">
        <v>34</v>
      </c>
      <c r="S15" s="21" t="s">
        <v>34</v>
      </c>
      <c r="T15" s="112"/>
    </row>
    <row r="16" spans="1:20">
      <c r="A16" s="1">
        <f t="shared" si="0"/>
        <v>1994</v>
      </c>
      <c r="B16" s="415">
        <v>1.004</v>
      </c>
      <c r="C16" s="415">
        <v>1.002</v>
      </c>
      <c r="D16" s="415">
        <v>1.0029999999999999</v>
      </c>
      <c r="E16" s="415">
        <v>1.0029999999999999</v>
      </c>
      <c r="F16" s="415">
        <v>1.002</v>
      </c>
      <c r="G16" s="415">
        <v>1.002</v>
      </c>
      <c r="H16" s="415">
        <v>1.002</v>
      </c>
      <c r="I16" s="415">
        <v>1.0009999999999999</v>
      </c>
      <c r="J16" s="415">
        <v>1.0009999999999999</v>
      </c>
      <c r="K16" s="415" t="s">
        <v>34</v>
      </c>
      <c r="L16" s="415" t="s">
        <v>34</v>
      </c>
      <c r="M16" s="415" t="s">
        <v>34</v>
      </c>
      <c r="N16" s="415" t="s">
        <v>34</v>
      </c>
      <c r="O16" s="415" t="s">
        <v>34</v>
      </c>
      <c r="P16" s="415" t="s">
        <v>34</v>
      </c>
      <c r="Q16" s="415" t="s">
        <v>34</v>
      </c>
      <c r="R16" s="415" t="s">
        <v>34</v>
      </c>
      <c r="S16" s="21" t="s">
        <v>34</v>
      </c>
      <c r="T16" s="112"/>
    </row>
    <row r="17" spans="1:20">
      <c r="A17" s="1">
        <f t="shared" si="0"/>
        <v>1995</v>
      </c>
      <c r="B17" s="415">
        <v>1.0049999999999999</v>
      </c>
      <c r="C17" s="415">
        <v>1.004</v>
      </c>
      <c r="D17" s="415">
        <v>1.0029999999999999</v>
      </c>
      <c r="E17" s="415">
        <v>1.002</v>
      </c>
      <c r="F17" s="415">
        <v>1.0029999999999999</v>
      </c>
      <c r="G17" s="415">
        <v>1.002</v>
      </c>
      <c r="H17" s="415">
        <v>1.002</v>
      </c>
      <c r="I17" s="415">
        <v>1.002</v>
      </c>
      <c r="J17" s="415" t="s">
        <v>34</v>
      </c>
      <c r="K17" s="415" t="s">
        <v>34</v>
      </c>
      <c r="L17" s="415" t="s">
        <v>34</v>
      </c>
      <c r="M17" s="415" t="s">
        <v>34</v>
      </c>
      <c r="N17" s="415" t="s">
        <v>34</v>
      </c>
      <c r="O17" s="415" t="s">
        <v>34</v>
      </c>
      <c r="P17" s="415" t="s">
        <v>34</v>
      </c>
      <c r="Q17" s="415" t="s">
        <v>34</v>
      </c>
      <c r="R17" s="415" t="s">
        <v>34</v>
      </c>
      <c r="S17" s="21" t="s">
        <v>34</v>
      </c>
      <c r="T17" s="112"/>
    </row>
    <row r="18" spans="1:20">
      <c r="A18" s="1">
        <f t="shared" si="0"/>
        <v>1996</v>
      </c>
      <c r="B18" s="415">
        <v>1.0049999999999999</v>
      </c>
      <c r="C18" s="415">
        <v>1.004</v>
      </c>
      <c r="D18" s="415">
        <v>1.0029999999999999</v>
      </c>
      <c r="E18" s="415">
        <v>1.0029999999999999</v>
      </c>
      <c r="F18" s="415">
        <v>1.002</v>
      </c>
      <c r="G18" s="415">
        <v>1.0029999999999999</v>
      </c>
      <c r="H18" s="415">
        <v>1.0029999999999999</v>
      </c>
      <c r="I18" s="415" t="s">
        <v>34</v>
      </c>
      <c r="J18" s="415" t="s">
        <v>34</v>
      </c>
      <c r="K18" s="415" t="s">
        <v>34</v>
      </c>
      <c r="L18" s="415" t="s">
        <v>34</v>
      </c>
      <c r="M18" s="415" t="s">
        <v>34</v>
      </c>
      <c r="N18" s="415" t="s">
        <v>34</v>
      </c>
      <c r="O18" s="415" t="s">
        <v>34</v>
      </c>
      <c r="P18" s="415" t="s">
        <v>34</v>
      </c>
      <c r="Q18" s="415" t="s">
        <v>34</v>
      </c>
      <c r="R18" s="415" t="s">
        <v>34</v>
      </c>
      <c r="S18" s="21" t="s">
        <v>34</v>
      </c>
      <c r="T18" s="112"/>
    </row>
    <row r="19" spans="1:20">
      <c r="A19" s="1">
        <f t="shared" si="0"/>
        <v>1997</v>
      </c>
      <c r="B19" s="415">
        <v>1.004</v>
      </c>
      <c r="C19" s="415">
        <v>1.0029999999999999</v>
      </c>
      <c r="D19" s="415">
        <v>1.002</v>
      </c>
      <c r="E19" s="415">
        <v>1.002</v>
      </c>
      <c r="F19" s="415">
        <v>1.0029999999999999</v>
      </c>
      <c r="G19" s="415">
        <v>1.0029999999999999</v>
      </c>
      <c r="H19" s="415" t="s">
        <v>34</v>
      </c>
      <c r="I19" s="415" t="s">
        <v>34</v>
      </c>
      <c r="J19" s="415" t="s">
        <v>34</v>
      </c>
      <c r="K19" s="415" t="s">
        <v>34</v>
      </c>
      <c r="L19" s="415" t="s">
        <v>34</v>
      </c>
      <c r="M19" s="415" t="s">
        <v>34</v>
      </c>
      <c r="N19" s="415" t="s">
        <v>34</v>
      </c>
      <c r="O19" s="415" t="s">
        <v>34</v>
      </c>
      <c r="P19" s="415" t="s">
        <v>34</v>
      </c>
      <c r="Q19" s="415" t="s">
        <v>34</v>
      </c>
      <c r="R19" s="415" t="s">
        <v>34</v>
      </c>
      <c r="S19" s="21" t="s">
        <v>34</v>
      </c>
      <c r="T19" s="112"/>
    </row>
    <row r="20" spans="1:20">
      <c r="A20" s="1">
        <f t="shared" si="0"/>
        <v>1998</v>
      </c>
      <c r="B20" s="415">
        <v>1.0049999999999999</v>
      </c>
      <c r="C20" s="415">
        <v>1.004</v>
      </c>
      <c r="D20" s="415">
        <v>1.0029999999999999</v>
      </c>
      <c r="E20" s="415">
        <v>1.0029999999999999</v>
      </c>
      <c r="F20" s="415">
        <v>1.0029999999999999</v>
      </c>
      <c r="G20" s="415" t="s">
        <v>34</v>
      </c>
      <c r="H20" s="415" t="s">
        <v>34</v>
      </c>
      <c r="I20" s="415" t="s">
        <v>34</v>
      </c>
      <c r="J20" s="415" t="s">
        <v>34</v>
      </c>
      <c r="K20" s="415" t="s">
        <v>34</v>
      </c>
      <c r="L20" s="415" t="s">
        <v>34</v>
      </c>
      <c r="M20" s="415" t="s">
        <v>34</v>
      </c>
      <c r="N20" s="415" t="s">
        <v>34</v>
      </c>
      <c r="O20" s="415" t="s">
        <v>34</v>
      </c>
      <c r="P20" s="415" t="s">
        <v>34</v>
      </c>
      <c r="Q20" s="415" t="s">
        <v>34</v>
      </c>
      <c r="R20" s="415" t="s">
        <v>34</v>
      </c>
      <c r="S20" s="21" t="s">
        <v>34</v>
      </c>
      <c r="T20" s="112"/>
    </row>
    <row r="21" spans="1:20">
      <c r="A21" s="1">
        <f t="shared" si="0"/>
        <v>1999</v>
      </c>
      <c r="B21" s="415">
        <v>1.004</v>
      </c>
      <c r="C21" s="415">
        <v>1.0029999999999999</v>
      </c>
      <c r="D21" s="415">
        <v>1.0029999999999999</v>
      </c>
      <c r="E21" s="415">
        <v>1.0029999999999999</v>
      </c>
      <c r="F21" s="415" t="s">
        <v>34</v>
      </c>
      <c r="G21" s="415" t="s">
        <v>34</v>
      </c>
      <c r="H21" s="415" t="s">
        <v>34</v>
      </c>
      <c r="I21" s="415" t="s">
        <v>34</v>
      </c>
      <c r="J21" s="415" t="s">
        <v>34</v>
      </c>
      <c r="K21" s="415" t="s">
        <v>34</v>
      </c>
      <c r="L21" s="415" t="s">
        <v>34</v>
      </c>
      <c r="M21" s="415" t="s">
        <v>34</v>
      </c>
      <c r="N21" s="415" t="s">
        <v>34</v>
      </c>
      <c r="O21" s="415" t="s">
        <v>34</v>
      </c>
      <c r="P21" s="415" t="s">
        <v>34</v>
      </c>
      <c r="Q21" s="415" t="s">
        <v>34</v>
      </c>
      <c r="R21" s="415" t="s">
        <v>34</v>
      </c>
      <c r="S21" s="21" t="s">
        <v>34</v>
      </c>
      <c r="T21" s="112"/>
    </row>
    <row r="22" spans="1:20">
      <c r="A22" s="1">
        <f t="shared" si="0"/>
        <v>2000</v>
      </c>
      <c r="B22" s="415">
        <v>1.004</v>
      </c>
      <c r="C22" s="415">
        <v>1.004</v>
      </c>
      <c r="D22" s="415">
        <v>1.0029999999999999</v>
      </c>
      <c r="E22" s="415" t="s">
        <v>34</v>
      </c>
      <c r="F22" s="415" t="s">
        <v>34</v>
      </c>
      <c r="G22" s="415" t="s">
        <v>34</v>
      </c>
      <c r="H22" s="415" t="s">
        <v>34</v>
      </c>
      <c r="I22" s="415" t="s">
        <v>34</v>
      </c>
      <c r="J22" s="415" t="s">
        <v>34</v>
      </c>
      <c r="K22" s="415" t="s">
        <v>34</v>
      </c>
      <c r="L22" s="415" t="s">
        <v>34</v>
      </c>
      <c r="M22" s="415" t="s">
        <v>34</v>
      </c>
      <c r="N22" s="415" t="s">
        <v>34</v>
      </c>
      <c r="O22" s="415" t="s">
        <v>34</v>
      </c>
      <c r="P22" s="415" t="s">
        <v>34</v>
      </c>
      <c r="Q22" s="415" t="s">
        <v>34</v>
      </c>
      <c r="R22" s="415" t="s">
        <v>34</v>
      </c>
      <c r="S22" s="21" t="s">
        <v>34</v>
      </c>
      <c r="T22" s="112"/>
    </row>
    <row r="23" spans="1:20">
      <c r="A23" s="1">
        <f t="shared" si="0"/>
        <v>2001</v>
      </c>
      <c r="B23" s="415">
        <v>1.0049999999999999</v>
      </c>
      <c r="C23" s="415">
        <v>1.004</v>
      </c>
      <c r="D23" s="415" t="s">
        <v>34</v>
      </c>
      <c r="E23" s="415" t="s">
        <v>34</v>
      </c>
      <c r="F23" s="415" t="s">
        <v>34</v>
      </c>
      <c r="G23" s="415" t="s">
        <v>34</v>
      </c>
      <c r="H23" s="415" t="s">
        <v>34</v>
      </c>
      <c r="I23" s="415" t="s">
        <v>34</v>
      </c>
      <c r="J23" s="415" t="s">
        <v>34</v>
      </c>
      <c r="K23" s="415" t="s">
        <v>34</v>
      </c>
      <c r="L23" s="415" t="s">
        <v>34</v>
      </c>
      <c r="M23" s="415" t="s">
        <v>34</v>
      </c>
      <c r="N23" s="415" t="s">
        <v>34</v>
      </c>
      <c r="O23" s="415" t="s">
        <v>34</v>
      </c>
      <c r="P23" s="415" t="s">
        <v>34</v>
      </c>
      <c r="Q23" s="415" t="s">
        <v>34</v>
      </c>
      <c r="R23" s="415" t="s">
        <v>34</v>
      </c>
      <c r="S23" s="21" t="s">
        <v>34</v>
      </c>
      <c r="T23" s="112"/>
    </row>
    <row r="24" spans="1:20">
      <c r="A24" s="1">
        <f>'Exhibit 2.2.2'!A24</f>
        <v>2002</v>
      </c>
      <c r="B24" s="415">
        <v>1.0049999999999999</v>
      </c>
      <c r="C24" s="415" t="s">
        <v>34</v>
      </c>
      <c r="D24" s="415" t="s">
        <v>34</v>
      </c>
      <c r="E24" s="415" t="s">
        <v>34</v>
      </c>
      <c r="F24" s="415" t="s">
        <v>34</v>
      </c>
      <c r="G24" s="415" t="s">
        <v>34</v>
      </c>
      <c r="H24" s="415" t="s">
        <v>34</v>
      </c>
      <c r="I24" s="415" t="s">
        <v>34</v>
      </c>
      <c r="J24" s="415" t="s">
        <v>34</v>
      </c>
      <c r="K24" s="415" t="s">
        <v>34</v>
      </c>
      <c r="L24" s="415" t="s">
        <v>34</v>
      </c>
      <c r="M24" s="415" t="s">
        <v>34</v>
      </c>
      <c r="N24" s="415" t="s">
        <v>34</v>
      </c>
      <c r="O24" s="415" t="s">
        <v>34</v>
      </c>
      <c r="P24" s="415" t="s">
        <v>34</v>
      </c>
      <c r="Q24" s="415" t="s">
        <v>34</v>
      </c>
      <c r="R24" s="415" t="s">
        <v>34</v>
      </c>
      <c r="S24" s="21" t="s">
        <v>34</v>
      </c>
      <c r="T24" s="112"/>
    </row>
    <row r="25" spans="1:20">
      <c r="A25" s="17"/>
      <c r="B25" s="16"/>
      <c r="C25" s="16"/>
      <c r="D25" s="16"/>
      <c r="E25" s="16"/>
      <c r="F25" s="16"/>
      <c r="G25" s="16"/>
      <c r="H25" s="16"/>
      <c r="I25" s="16"/>
      <c r="J25" s="16"/>
      <c r="K25" s="16"/>
      <c r="L25" s="16"/>
      <c r="M25" s="16"/>
      <c r="N25" s="16"/>
      <c r="O25" s="16"/>
      <c r="P25" s="16"/>
      <c r="Q25" s="17"/>
      <c r="R25" s="17"/>
      <c r="S25" s="17"/>
      <c r="T25" s="112"/>
    </row>
    <row r="26" spans="1:20">
      <c r="A26" s="18"/>
      <c r="B26" s="16"/>
      <c r="C26" s="16"/>
      <c r="D26" s="16"/>
      <c r="E26" s="16"/>
      <c r="F26" s="16"/>
      <c r="G26" s="16"/>
      <c r="H26" s="16"/>
      <c r="I26" s="16"/>
      <c r="J26" s="16"/>
      <c r="K26" s="16"/>
      <c r="L26" s="16"/>
      <c r="M26" s="16"/>
      <c r="N26" s="17"/>
      <c r="O26" s="17"/>
      <c r="P26" s="4"/>
      <c r="Q26" s="19"/>
      <c r="R26" s="19"/>
      <c r="S26" s="19"/>
      <c r="T26" s="112"/>
    </row>
    <row r="27" spans="1:20">
      <c r="A27" s="1" t="s">
        <v>20</v>
      </c>
      <c r="B27" s="16">
        <f ca="1">AVERAGE(OFFSET(B$23:B$25,-COUNTA($B$4:B$4),0))</f>
        <v>1.0046666666666666</v>
      </c>
      <c r="C27" s="16">
        <f ca="1">AVERAGE(OFFSET(C$23:C$25,-COUNTA($B$4:C$4),0))</f>
        <v>1.0036666666666665</v>
      </c>
      <c r="D27" s="16">
        <f ca="1">AVERAGE(OFFSET(D$23:D$25,-COUNTA($B$4:D$4),0))</f>
        <v>1.0029999999999999</v>
      </c>
      <c r="E27" s="16">
        <f ca="1">AVERAGE(OFFSET(E$23:E$25,-COUNTA($B$4:E$4),0))</f>
        <v>1.0026666666666666</v>
      </c>
      <c r="F27" s="16">
        <f ca="1">AVERAGE(OFFSET(F$23:F$25,-COUNTA($B$4:F$4),0))</f>
        <v>1.0026666666666666</v>
      </c>
      <c r="G27" s="16">
        <f ca="1">AVERAGE(OFFSET(G$23:G$25,-COUNTA($B$4:G$4),0))</f>
        <v>1.0026666666666666</v>
      </c>
      <c r="H27" s="16">
        <f ca="1">AVERAGE(OFFSET(H$23:H$25,-COUNTA($B$4:H$4),0))</f>
        <v>1.0023333333333333</v>
      </c>
      <c r="I27" s="16">
        <f ca="1">AVERAGE(OFFSET(I$23:I$25,-COUNTA($B$4:I$4),0))</f>
        <v>1.0013333333333332</v>
      </c>
      <c r="J27" s="16">
        <f ca="1">AVERAGE(OFFSET(J$23:J$25,-COUNTA($B$4:J$4),0))</f>
        <v>1.0009999999999999</v>
      </c>
      <c r="K27" s="16">
        <f ca="1">AVERAGE(OFFSET(K$23:K$25,-COUNTA($B$4:K$4),0))</f>
        <v>1.0009999999999999</v>
      </c>
      <c r="L27" s="16">
        <f ca="1">AVERAGE(OFFSET(L$23:L$25,-COUNTA($B$4:L$4),0))</f>
        <v>1.0006666666666666</v>
      </c>
      <c r="M27" s="16">
        <f ca="1">AVERAGE(OFFSET(M$23:M$25,-COUNTA($B$4:M$4),0))</f>
        <v>1.0009999999999999</v>
      </c>
      <c r="N27" s="16">
        <f ca="1">AVERAGE(OFFSET(N$23:N$25,-COUNTA($B$4:N$4),0))</f>
        <v>1.0009999999999999</v>
      </c>
      <c r="O27" s="16">
        <f ca="1">AVERAGE(OFFSET(O$23:O$25,-COUNTA($B$4:O$4),0))</f>
        <v>1.0006666666666666</v>
      </c>
      <c r="P27" s="16">
        <f ca="1">AVERAGE(OFFSET(P$23:P$25,-COUNTA($B$4:P$4),0))</f>
        <v>1.0009999999999999</v>
      </c>
      <c r="Q27" s="16">
        <f ca="1">AVERAGE(OFFSET(Q$23:Q$25,-COUNTA($B$4:Q$4),0))</f>
        <v>1.0003333333333333</v>
      </c>
      <c r="R27" s="16">
        <f ca="1">AVERAGE(OFFSET(R$23:R$25,-COUNTA($B$4:R$4),0))</f>
        <v>1.0003333333333333</v>
      </c>
      <c r="S27" s="16">
        <f ca="1">AVERAGE(OFFSET(S$23:S$25,-COUNTA($B$4:S$4),0))</f>
        <v>1.0006666666666666</v>
      </c>
      <c r="T27" s="300"/>
    </row>
    <row r="28" spans="1:20">
      <c r="A28" s="12" t="s">
        <v>21</v>
      </c>
      <c r="B28" s="16">
        <f t="shared" ref="B28:R28" ca="1" si="1">C28*B27</f>
        <v>1.0372875247532087</v>
      </c>
      <c r="C28" s="16">
        <f t="shared" ca="1" si="1"/>
        <v>1.0324693345254234</v>
      </c>
      <c r="D28" s="16">
        <f t="shared" ca="1" si="1"/>
        <v>1.0286974438977983</v>
      </c>
      <c r="E28" s="16">
        <f t="shared" ca="1" si="1"/>
        <v>1.0256205821513444</v>
      </c>
      <c r="F28" s="16">
        <f t="shared" ca="1" si="1"/>
        <v>1.0228928678371123</v>
      </c>
      <c r="G28" s="16">
        <f t="shared" ca="1" si="1"/>
        <v>1.0201724080822265</v>
      </c>
      <c r="H28" s="16">
        <f t="shared" ca="1" si="1"/>
        <v>1.0174591835926463</v>
      </c>
      <c r="I28" s="16">
        <f t="shared" ca="1" si="1"/>
        <v>1.0150906387688523</v>
      </c>
      <c r="J28" s="16">
        <f t="shared" ca="1" si="1"/>
        <v>1.0137389867864706</v>
      </c>
      <c r="K28" s="16">
        <f t="shared" ca="1" si="1"/>
        <v>1.0127262605259448</v>
      </c>
      <c r="L28" s="16">
        <f t="shared" ca="1" si="1"/>
        <v>1.011714545979965</v>
      </c>
      <c r="M28" s="16">
        <f t="shared" ca="1" si="1"/>
        <v>1.0110405189673202</v>
      </c>
      <c r="N28" s="16">
        <f t="shared" ca="1" si="1"/>
        <v>1.0100304884788414</v>
      </c>
      <c r="O28" s="16">
        <f t="shared" ca="1" si="1"/>
        <v>1.0090214670118296</v>
      </c>
      <c r="P28" s="16">
        <f t="shared" ca="1" si="1"/>
        <v>1.008349234189037</v>
      </c>
      <c r="Q28" s="16">
        <f t="shared" ca="1" si="1"/>
        <v>1.0073418922967403</v>
      </c>
      <c r="R28" s="16">
        <f t="shared" ca="1" si="1"/>
        <v>1.0070062235555552</v>
      </c>
      <c r="S28" s="16">
        <f ca="1">T28*S27</f>
        <v>1.0066706666666665</v>
      </c>
      <c r="T28" s="21">
        <v>1.006</v>
      </c>
    </row>
    <row r="29" spans="1:20">
      <c r="A29" s="17"/>
      <c r="B29" s="138"/>
      <c r="C29" s="138"/>
      <c r="D29" s="138"/>
      <c r="E29" s="138"/>
      <c r="F29" s="138"/>
      <c r="G29" s="138"/>
      <c r="H29" s="139"/>
      <c r="I29" s="139"/>
      <c r="J29" s="139"/>
      <c r="K29" s="139"/>
      <c r="L29" s="139"/>
      <c r="M29" s="139"/>
      <c r="N29" s="139"/>
      <c r="O29" s="139"/>
      <c r="P29" s="139"/>
      <c r="Q29" s="16"/>
      <c r="R29" s="16"/>
      <c r="S29" s="16"/>
      <c r="T29" s="112"/>
    </row>
    <row r="30" spans="1:20" ht="12.75" customHeight="1">
      <c r="A30" s="20" t="s">
        <v>25</v>
      </c>
      <c r="B30" s="355" t="s">
        <v>555</v>
      </c>
      <c r="C30" s="348"/>
      <c r="D30" s="348"/>
      <c r="E30" s="348"/>
      <c r="F30" s="348"/>
      <c r="G30" s="348"/>
      <c r="H30" s="348"/>
      <c r="I30" s="348"/>
      <c r="J30" s="348"/>
      <c r="K30" s="348"/>
      <c r="L30" s="348"/>
      <c r="M30" s="348"/>
      <c r="N30" s="348"/>
      <c r="O30" s="348"/>
      <c r="P30" s="348"/>
      <c r="Q30" s="348"/>
      <c r="R30" s="263"/>
      <c r="S30" s="348"/>
      <c r="T30" s="112"/>
    </row>
    <row r="31" spans="1:20" ht="12.75" customHeight="1">
      <c r="A31" s="20"/>
      <c r="B31" s="355" t="s">
        <v>556</v>
      </c>
      <c r="C31" s="346"/>
      <c r="D31" s="346"/>
      <c r="E31" s="346"/>
      <c r="F31" s="346"/>
      <c r="G31" s="346"/>
      <c r="H31" s="346"/>
      <c r="I31" s="346"/>
      <c r="J31" s="346"/>
      <c r="K31" s="346"/>
      <c r="L31" s="346"/>
      <c r="M31" s="346"/>
      <c r="N31" s="346"/>
      <c r="O31" s="346"/>
      <c r="P31" s="346"/>
      <c r="Q31" s="346"/>
      <c r="R31" s="346"/>
      <c r="S31" s="346"/>
    </row>
  </sheetData>
  <pageMargins left="0.7" right="0.7" top="0.75" bottom="0.75" header="0.3" footer="0.3"/>
  <pageSetup scale="73" orientation="landscape" blackAndWhite="1" horizontalDpi="1200" verticalDpi="1200"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zoomScaleNormal="100" workbookViewId="0"/>
  </sheetViews>
  <sheetFormatPr defaultColWidth="9.1328125" defaultRowHeight="12.75"/>
  <cols>
    <col min="1" max="1" width="20.59765625" style="110" customWidth="1"/>
    <col min="2" max="17" width="8.73046875" style="110" customWidth="1"/>
    <col min="18" max="16384" width="9.1328125" style="110"/>
  </cols>
  <sheetData>
    <row r="1" spans="1:17" ht="13.15" customHeight="1">
      <c r="A1" s="277" t="s">
        <v>35</v>
      </c>
      <c r="B1" s="277"/>
      <c r="C1" s="277"/>
      <c r="D1" s="277"/>
      <c r="E1" s="277"/>
      <c r="F1" s="277"/>
      <c r="G1" s="277"/>
      <c r="H1" s="277"/>
      <c r="I1" s="277"/>
      <c r="J1" s="277"/>
      <c r="K1" s="277"/>
      <c r="L1" s="277"/>
      <c r="M1" s="277"/>
      <c r="N1" s="277"/>
      <c r="O1" s="277"/>
      <c r="P1" s="277"/>
      <c r="Q1" s="277"/>
    </row>
    <row r="2" spans="1:17" ht="13.15" customHeight="1"/>
    <row r="3" spans="1:17" ht="13.15" customHeight="1">
      <c r="A3" s="1" t="s">
        <v>58</v>
      </c>
      <c r="B3" s="280" t="s">
        <v>18</v>
      </c>
      <c r="C3" s="280"/>
      <c r="D3" s="280"/>
      <c r="E3" s="280"/>
      <c r="F3" s="280"/>
      <c r="G3" s="280"/>
      <c r="H3" s="280"/>
      <c r="I3" s="280"/>
      <c r="J3" s="280"/>
      <c r="K3" s="280"/>
      <c r="L3" s="280"/>
      <c r="M3" s="280"/>
      <c r="N3" s="280"/>
      <c r="O3" s="280"/>
      <c r="P3" s="280"/>
      <c r="Q3" s="280"/>
    </row>
    <row r="4" spans="1:17" ht="13.15" customHeight="1">
      <c r="A4" s="19" t="s">
        <v>19</v>
      </c>
      <c r="B4" s="11" t="s">
        <v>470</v>
      </c>
      <c r="C4" s="11" t="s">
        <v>471</v>
      </c>
      <c r="D4" s="11" t="s">
        <v>472</v>
      </c>
      <c r="E4" s="11" t="s">
        <v>473</v>
      </c>
      <c r="F4" s="11" t="s">
        <v>474</v>
      </c>
      <c r="G4" s="11" t="s">
        <v>475</v>
      </c>
      <c r="H4" s="11" t="s">
        <v>476</v>
      </c>
      <c r="I4" s="11" t="s">
        <v>477</v>
      </c>
      <c r="J4" s="11" t="s">
        <v>478</v>
      </c>
      <c r="K4" s="11" t="s">
        <v>479</v>
      </c>
      <c r="L4" s="11" t="s">
        <v>480</v>
      </c>
      <c r="M4" s="11" t="s">
        <v>481</v>
      </c>
      <c r="N4" s="11" t="s">
        <v>482</v>
      </c>
      <c r="O4" s="11" t="s">
        <v>483</v>
      </c>
      <c r="P4" s="11" t="s">
        <v>484</v>
      </c>
      <c r="Q4" s="11" t="s">
        <v>485</v>
      </c>
    </row>
    <row r="5" spans="1:17" ht="12" customHeight="1">
      <c r="A5" s="1">
        <f t="shared" ref="A5:A28" si="0">+A6-1</f>
        <v>1994</v>
      </c>
      <c r="B5" s="415" t="s">
        <v>34</v>
      </c>
      <c r="C5" s="415" t="s">
        <v>34</v>
      </c>
      <c r="D5" s="415" t="s">
        <v>34</v>
      </c>
      <c r="E5" s="415" t="s">
        <v>34</v>
      </c>
      <c r="F5" s="415" t="s">
        <v>34</v>
      </c>
      <c r="G5" s="415" t="s">
        <v>34</v>
      </c>
      <c r="H5" s="415" t="s">
        <v>34</v>
      </c>
      <c r="I5" s="415" t="s">
        <v>34</v>
      </c>
      <c r="J5" s="415" t="s">
        <v>34</v>
      </c>
      <c r="K5" s="415" t="s">
        <v>34</v>
      </c>
      <c r="L5" s="415">
        <v>1.018</v>
      </c>
      <c r="M5" s="415">
        <v>1.018</v>
      </c>
      <c r="N5" s="415">
        <v>1.0149999999999999</v>
      </c>
      <c r="O5" s="415">
        <v>1.016</v>
      </c>
      <c r="P5" s="415">
        <v>1.012</v>
      </c>
      <c r="Q5" s="415">
        <v>1.0129999999999999</v>
      </c>
    </row>
    <row r="6" spans="1:17" ht="12" customHeight="1">
      <c r="A6" s="1">
        <f t="shared" si="0"/>
        <v>1995</v>
      </c>
      <c r="B6" s="415" t="s">
        <v>34</v>
      </c>
      <c r="C6" s="415" t="s">
        <v>34</v>
      </c>
      <c r="D6" s="415" t="s">
        <v>34</v>
      </c>
      <c r="E6" s="415" t="s">
        <v>34</v>
      </c>
      <c r="F6" s="415" t="s">
        <v>34</v>
      </c>
      <c r="G6" s="415" t="s">
        <v>34</v>
      </c>
      <c r="H6" s="415" t="s">
        <v>34</v>
      </c>
      <c r="I6" s="415" t="s">
        <v>34</v>
      </c>
      <c r="J6" s="415" t="s">
        <v>34</v>
      </c>
      <c r="K6" s="415">
        <v>1.024</v>
      </c>
      <c r="L6" s="415">
        <v>1.02</v>
      </c>
      <c r="M6" s="415">
        <v>1.0229999999999999</v>
      </c>
      <c r="N6" s="415">
        <v>1.0189999999999999</v>
      </c>
      <c r="O6" s="415">
        <v>1.018</v>
      </c>
      <c r="P6" s="415">
        <v>1.0169999999999999</v>
      </c>
      <c r="Q6" s="415">
        <v>1.0129999999999999</v>
      </c>
    </row>
    <row r="7" spans="1:17" ht="12" customHeight="1">
      <c r="A7" s="1">
        <f t="shared" si="0"/>
        <v>1996</v>
      </c>
      <c r="B7" s="415" t="s">
        <v>34</v>
      </c>
      <c r="C7" s="415" t="s">
        <v>34</v>
      </c>
      <c r="D7" s="415" t="s">
        <v>34</v>
      </c>
      <c r="E7" s="415" t="s">
        <v>34</v>
      </c>
      <c r="F7" s="415" t="s">
        <v>34</v>
      </c>
      <c r="G7" s="415" t="s">
        <v>34</v>
      </c>
      <c r="H7" s="415" t="s">
        <v>34</v>
      </c>
      <c r="I7" s="415" t="s">
        <v>34</v>
      </c>
      <c r="J7" s="415">
        <v>1.028</v>
      </c>
      <c r="K7" s="415">
        <v>1.026</v>
      </c>
      <c r="L7" s="415">
        <v>1.0249999999999999</v>
      </c>
      <c r="M7" s="415">
        <v>1.0229999999999999</v>
      </c>
      <c r="N7" s="415">
        <v>1.022</v>
      </c>
      <c r="O7" s="415">
        <v>1.014</v>
      </c>
      <c r="P7" s="415">
        <v>1.014</v>
      </c>
      <c r="Q7" s="415">
        <v>1.014</v>
      </c>
    </row>
    <row r="8" spans="1:17" ht="12" customHeight="1">
      <c r="A8" s="1">
        <f t="shared" si="0"/>
        <v>1997</v>
      </c>
      <c r="B8" s="415" t="s">
        <v>34</v>
      </c>
      <c r="C8" s="415" t="s">
        <v>34</v>
      </c>
      <c r="D8" s="415" t="s">
        <v>34</v>
      </c>
      <c r="E8" s="415" t="s">
        <v>34</v>
      </c>
      <c r="F8" s="415" t="s">
        <v>34</v>
      </c>
      <c r="G8" s="415" t="s">
        <v>34</v>
      </c>
      <c r="H8" s="415" t="s">
        <v>34</v>
      </c>
      <c r="I8" s="415">
        <v>1.034</v>
      </c>
      <c r="J8" s="415">
        <v>1.032</v>
      </c>
      <c r="K8" s="415">
        <v>1.028</v>
      </c>
      <c r="L8" s="415">
        <v>1.0249999999999999</v>
      </c>
      <c r="M8" s="415">
        <v>1.02</v>
      </c>
      <c r="N8" s="415">
        <v>1.0189999999999999</v>
      </c>
      <c r="O8" s="415">
        <v>1.014</v>
      </c>
      <c r="P8" s="415">
        <v>1.014</v>
      </c>
      <c r="Q8" s="415">
        <v>1.0149999999999999</v>
      </c>
    </row>
    <row r="9" spans="1:17" ht="12" customHeight="1">
      <c r="A9" s="1">
        <f t="shared" si="0"/>
        <v>1998</v>
      </c>
      <c r="B9" s="415" t="s">
        <v>34</v>
      </c>
      <c r="C9" s="415" t="s">
        <v>34</v>
      </c>
      <c r="D9" s="415" t="s">
        <v>34</v>
      </c>
      <c r="E9" s="415" t="s">
        <v>34</v>
      </c>
      <c r="F9" s="415" t="s">
        <v>34</v>
      </c>
      <c r="G9" s="415" t="s">
        <v>34</v>
      </c>
      <c r="H9" s="415">
        <v>1.044</v>
      </c>
      <c r="I9" s="415">
        <v>1.0369999999999999</v>
      </c>
      <c r="J9" s="415">
        <v>1.0329999999999999</v>
      </c>
      <c r="K9" s="415">
        <v>1.032</v>
      </c>
      <c r="L9" s="415">
        <v>1.0269999999999999</v>
      </c>
      <c r="M9" s="415">
        <v>1.0209999999999999</v>
      </c>
      <c r="N9" s="415">
        <v>1.0169999999999999</v>
      </c>
      <c r="O9" s="415">
        <v>1.0189999999999999</v>
      </c>
      <c r="P9" s="415">
        <v>1.018</v>
      </c>
      <c r="Q9" s="415">
        <v>1.0169999999999999</v>
      </c>
    </row>
    <row r="10" spans="1:17" ht="12" customHeight="1">
      <c r="A10" s="1">
        <f t="shared" si="0"/>
        <v>1999</v>
      </c>
      <c r="B10" s="415" t="s">
        <v>34</v>
      </c>
      <c r="C10" s="415" t="s">
        <v>34</v>
      </c>
      <c r="D10" s="415" t="s">
        <v>34</v>
      </c>
      <c r="E10" s="415" t="s">
        <v>34</v>
      </c>
      <c r="F10" s="415" t="s">
        <v>34</v>
      </c>
      <c r="G10" s="415">
        <v>1.0529999999999999</v>
      </c>
      <c r="H10" s="415">
        <v>1.042</v>
      </c>
      <c r="I10" s="415">
        <v>1.0309999999999999</v>
      </c>
      <c r="J10" s="415">
        <v>1.0349999999999999</v>
      </c>
      <c r="K10" s="415">
        <v>1.03</v>
      </c>
      <c r="L10" s="415">
        <v>1.0249999999999999</v>
      </c>
      <c r="M10" s="415">
        <v>1.02</v>
      </c>
      <c r="N10" s="415">
        <v>1.016</v>
      </c>
      <c r="O10" s="415">
        <v>1.018</v>
      </c>
      <c r="P10" s="415">
        <v>1.018</v>
      </c>
      <c r="Q10" s="415">
        <v>1.014</v>
      </c>
    </row>
    <row r="11" spans="1:17" ht="12" customHeight="1">
      <c r="A11" s="1">
        <f t="shared" si="0"/>
        <v>2000</v>
      </c>
      <c r="B11" s="415" t="s">
        <v>34</v>
      </c>
      <c r="C11" s="415" t="s">
        <v>34</v>
      </c>
      <c r="D11" s="415" t="s">
        <v>34</v>
      </c>
      <c r="E11" s="415" t="s">
        <v>34</v>
      </c>
      <c r="F11" s="415">
        <v>1.071</v>
      </c>
      <c r="G11" s="415">
        <v>1.0509999999999999</v>
      </c>
      <c r="H11" s="415">
        <v>1.0389999999999999</v>
      </c>
      <c r="I11" s="415">
        <v>1.0369999999999999</v>
      </c>
      <c r="J11" s="415">
        <v>1.03</v>
      </c>
      <c r="K11" s="415">
        <v>1.026</v>
      </c>
      <c r="L11" s="415">
        <v>1.022</v>
      </c>
      <c r="M11" s="415">
        <v>1.02</v>
      </c>
      <c r="N11" s="415">
        <v>1.0209999999999999</v>
      </c>
      <c r="O11" s="415">
        <v>1.016</v>
      </c>
      <c r="P11" s="415">
        <v>1.012</v>
      </c>
      <c r="Q11" s="415">
        <v>1.0109999999999999</v>
      </c>
    </row>
    <row r="12" spans="1:17" ht="12" customHeight="1">
      <c r="A12" s="1">
        <f t="shared" si="0"/>
        <v>2001</v>
      </c>
      <c r="B12" s="415" t="s">
        <v>34</v>
      </c>
      <c r="C12" s="415" t="s">
        <v>34</v>
      </c>
      <c r="D12" s="415" t="s">
        <v>34</v>
      </c>
      <c r="E12" s="415">
        <v>1.0940000000000001</v>
      </c>
      <c r="F12" s="415">
        <v>1.071</v>
      </c>
      <c r="G12" s="415">
        <v>1.054</v>
      </c>
      <c r="H12" s="415">
        <v>1.046</v>
      </c>
      <c r="I12" s="415">
        <v>1.0369999999999999</v>
      </c>
      <c r="J12" s="415">
        <v>1.0329999999999999</v>
      </c>
      <c r="K12" s="415">
        <v>1.026</v>
      </c>
      <c r="L12" s="415">
        <v>1.022</v>
      </c>
      <c r="M12" s="415">
        <v>1.026</v>
      </c>
      <c r="N12" s="415">
        <v>1.0189999999999999</v>
      </c>
      <c r="O12" s="415">
        <v>1.0169999999999999</v>
      </c>
      <c r="P12" s="415">
        <v>1.012</v>
      </c>
      <c r="Q12" s="415">
        <v>1.01</v>
      </c>
    </row>
    <row r="13" spans="1:17" ht="12" customHeight="1">
      <c r="A13" s="1">
        <f t="shared" si="0"/>
        <v>2002</v>
      </c>
      <c r="B13" s="415" t="s">
        <v>34</v>
      </c>
      <c r="C13" s="415" t="s">
        <v>34</v>
      </c>
      <c r="D13" s="415">
        <v>1.1479999999999999</v>
      </c>
      <c r="E13" s="415">
        <v>1.099</v>
      </c>
      <c r="F13" s="415">
        <v>1.0680000000000001</v>
      </c>
      <c r="G13" s="415">
        <v>1.0529999999999999</v>
      </c>
      <c r="H13" s="415">
        <v>1.0429999999999999</v>
      </c>
      <c r="I13" s="415">
        <v>1.032</v>
      </c>
      <c r="J13" s="415">
        <v>1.0269999999999999</v>
      </c>
      <c r="K13" s="415">
        <v>1.024</v>
      </c>
      <c r="L13" s="415">
        <v>1.026</v>
      </c>
      <c r="M13" s="415">
        <v>1.018</v>
      </c>
      <c r="N13" s="415">
        <v>1.0149999999999999</v>
      </c>
      <c r="O13" s="415">
        <v>1.0109999999999999</v>
      </c>
      <c r="P13" s="415">
        <v>1.0109999999999999</v>
      </c>
      <c r="Q13" s="415">
        <v>1.0089999999999999</v>
      </c>
    </row>
    <row r="14" spans="1:17" ht="12" customHeight="1">
      <c r="A14" s="1">
        <f t="shared" si="0"/>
        <v>2003</v>
      </c>
      <c r="B14" s="415" t="s">
        <v>34</v>
      </c>
      <c r="C14" s="415">
        <v>1.2589999999999999</v>
      </c>
      <c r="D14" s="415">
        <v>1.1539999999999999</v>
      </c>
      <c r="E14" s="415">
        <v>1.1000000000000001</v>
      </c>
      <c r="F14" s="415">
        <v>1.07</v>
      </c>
      <c r="G14" s="415">
        <v>1.0549999999999999</v>
      </c>
      <c r="H14" s="415">
        <v>1.0449999999999999</v>
      </c>
      <c r="I14" s="415">
        <v>1.0329999999999999</v>
      </c>
      <c r="J14" s="415">
        <v>1.0289999999999999</v>
      </c>
      <c r="K14" s="415">
        <v>1.0329999999999999</v>
      </c>
      <c r="L14" s="415">
        <v>1.0249999999999999</v>
      </c>
      <c r="M14" s="415">
        <v>1.018</v>
      </c>
      <c r="N14" s="415">
        <v>1.0149999999999999</v>
      </c>
      <c r="O14" s="415">
        <v>1.012</v>
      </c>
      <c r="P14" s="415">
        <v>1.0109999999999999</v>
      </c>
      <c r="Q14" s="415">
        <v>1.0109999999999999</v>
      </c>
    </row>
    <row r="15" spans="1:17" ht="12" customHeight="1">
      <c r="A15" s="1">
        <f t="shared" si="0"/>
        <v>2004</v>
      </c>
      <c r="B15" s="415">
        <v>1.744</v>
      </c>
      <c r="C15" s="415">
        <v>1.298</v>
      </c>
      <c r="D15" s="415">
        <v>1.165</v>
      </c>
      <c r="E15" s="415">
        <v>1.121</v>
      </c>
      <c r="F15" s="415">
        <v>1.0860000000000001</v>
      </c>
      <c r="G15" s="415">
        <v>1.0660000000000001</v>
      </c>
      <c r="H15" s="415">
        <v>1.0469999999999999</v>
      </c>
      <c r="I15" s="415">
        <v>1.0389999999999999</v>
      </c>
      <c r="J15" s="415">
        <v>1.0409999999999999</v>
      </c>
      <c r="K15" s="415">
        <v>1.0309999999999999</v>
      </c>
      <c r="L15" s="415">
        <v>1.022</v>
      </c>
      <c r="M15" s="415">
        <v>1.0169999999999999</v>
      </c>
      <c r="N15" s="415">
        <v>1.014</v>
      </c>
      <c r="O15" s="415">
        <v>1.0109999999999999</v>
      </c>
      <c r="P15" s="415">
        <v>1.012</v>
      </c>
      <c r="Q15" s="415" t="s">
        <v>34</v>
      </c>
    </row>
    <row r="16" spans="1:17" ht="12" customHeight="1">
      <c r="A16" s="1">
        <f t="shared" si="0"/>
        <v>2005</v>
      </c>
      <c r="B16" s="415">
        <v>1.7270000000000001</v>
      </c>
      <c r="C16" s="415">
        <v>1.292</v>
      </c>
      <c r="D16" s="415">
        <v>1.1930000000000001</v>
      </c>
      <c r="E16" s="415">
        <v>1.123</v>
      </c>
      <c r="F16" s="415">
        <v>1.091</v>
      </c>
      <c r="G16" s="415">
        <v>1.0629999999999999</v>
      </c>
      <c r="H16" s="415">
        <v>1.0529999999999999</v>
      </c>
      <c r="I16" s="415">
        <v>1.0509999999999999</v>
      </c>
      <c r="J16" s="415">
        <v>1.0369999999999999</v>
      </c>
      <c r="K16" s="415">
        <v>1.0289999999999999</v>
      </c>
      <c r="L16" s="415">
        <v>1.02</v>
      </c>
      <c r="M16" s="415">
        <v>1.0169999999999999</v>
      </c>
      <c r="N16" s="415">
        <v>1.0129999999999999</v>
      </c>
      <c r="O16" s="415">
        <v>1.0129999999999999</v>
      </c>
      <c r="P16" s="415" t="s">
        <v>34</v>
      </c>
      <c r="Q16" s="415" t="s">
        <v>34</v>
      </c>
    </row>
    <row r="17" spans="1:17" ht="12" customHeight="1">
      <c r="A17" s="1">
        <f t="shared" si="0"/>
        <v>2006</v>
      </c>
      <c r="B17" s="415">
        <v>1.7729999999999999</v>
      </c>
      <c r="C17" s="415">
        <v>1.3420000000000001</v>
      </c>
      <c r="D17" s="415">
        <v>1.1950000000000001</v>
      </c>
      <c r="E17" s="415">
        <v>1.1259999999999999</v>
      </c>
      <c r="F17" s="415">
        <v>1.085</v>
      </c>
      <c r="G17" s="415">
        <v>1.0640000000000001</v>
      </c>
      <c r="H17" s="415">
        <v>1.0569999999999999</v>
      </c>
      <c r="I17" s="415">
        <v>1.04</v>
      </c>
      <c r="J17" s="415">
        <v>1.032</v>
      </c>
      <c r="K17" s="415">
        <v>1.0229999999999999</v>
      </c>
      <c r="L17" s="415">
        <v>1.018</v>
      </c>
      <c r="M17" s="415">
        <v>1.0149999999999999</v>
      </c>
      <c r="N17" s="415">
        <v>1.0129999999999999</v>
      </c>
      <c r="O17" s="415" t="s">
        <v>34</v>
      </c>
      <c r="P17" s="415" t="s">
        <v>34</v>
      </c>
      <c r="Q17" s="415" t="s">
        <v>34</v>
      </c>
    </row>
    <row r="18" spans="1:17" ht="12" customHeight="1">
      <c r="A18" s="1">
        <f t="shared" si="0"/>
        <v>2007</v>
      </c>
      <c r="B18" s="415">
        <v>1.851</v>
      </c>
      <c r="C18" s="415">
        <v>1.3520000000000001</v>
      </c>
      <c r="D18" s="415">
        <v>1.2030000000000001</v>
      </c>
      <c r="E18" s="415">
        <v>1.1200000000000001</v>
      </c>
      <c r="F18" s="415">
        <v>1.0920000000000001</v>
      </c>
      <c r="G18" s="415">
        <v>1.079</v>
      </c>
      <c r="H18" s="415">
        <v>1.0509999999999999</v>
      </c>
      <c r="I18" s="415">
        <v>1.038</v>
      </c>
      <c r="J18" s="415">
        <v>1.028</v>
      </c>
      <c r="K18" s="415">
        <v>1.0209999999999999</v>
      </c>
      <c r="L18" s="415">
        <v>1.0189999999999999</v>
      </c>
      <c r="M18" s="415">
        <v>1.0149999999999999</v>
      </c>
      <c r="N18" s="415" t="s">
        <v>34</v>
      </c>
      <c r="O18" s="415" t="s">
        <v>34</v>
      </c>
      <c r="P18" s="415" t="s">
        <v>34</v>
      </c>
      <c r="Q18" s="415" t="s">
        <v>34</v>
      </c>
    </row>
    <row r="19" spans="1:17" ht="12" customHeight="1">
      <c r="A19" s="1">
        <f t="shared" si="0"/>
        <v>2008</v>
      </c>
      <c r="B19" s="415">
        <v>1.8260000000000001</v>
      </c>
      <c r="C19" s="415">
        <v>1.359</v>
      </c>
      <c r="D19" s="415">
        <v>1.208</v>
      </c>
      <c r="E19" s="415">
        <v>1.1339999999999999</v>
      </c>
      <c r="F19" s="415">
        <v>1.0980000000000001</v>
      </c>
      <c r="G19" s="415">
        <v>1.0669999999999999</v>
      </c>
      <c r="H19" s="415">
        <v>1.0469999999999999</v>
      </c>
      <c r="I19" s="415">
        <v>1.0329999999999999</v>
      </c>
      <c r="J19" s="415">
        <v>1.024</v>
      </c>
      <c r="K19" s="415">
        <v>1.0189999999999999</v>
      </c>
      <c r="L19" s="415">
        <v>1.0149999999999999</v>
      </c>
      <c r="M19" s="415" t="s">
        <v>34</v>
      </c>
      <c r="N19" s="415" t="s">
        <v>34</v>
      </c>
      <c r="O19" s="415" t="s">
        <v>34</v>
      </c>
      <c r="P19" s="415" t="s">
        <v>34</v>
      </c>
      <c r="Q19" s="415" t="s">
        <v>34</v>
      </c>
    </row>
    <row r="20" spans="1:17" ht="12" customHeight="1">
      <c r="A20" s="1">
        <f t="shared" si="0"/>
        <v>2009</v>
      </c>
      <c r="B20" s="415">
        <v>1.8759999999999999</v>
      </c>
      <c r="C20" s="415">
        <v>1.385</v>
      </c>
      <c r="D20" s="415">
        <v>1.2210000000000001</v>
      </c>
      <c r="E20" s="415">
        <v>1.1499999999999999</v>
      </c>
      <c r="F20" s="415">
        <v>1.095</v>
      </c>
      <c r="G20" s="415">
        <v>1.0620000000000001</v>
      </c>
      <c r="H20" s="415">
        <v>1.042</v>
      </c>
      <c r="I20" s="415">
        <v>1.0289999999999999</v>
      </c>
      <c r="J20" s="415">
        <v>1.0229999999999999</v>
      </c>
      <c r="K20" s="415">
        <v>1.018</v>
      </c>
      <c r="L20" s="415" t="s">
        <v>34</v>
      </c>
      <c r="M20" s="415" t="s">
        <v>34</v>
      </c>
      <c r="N20" s="415" t="s">
        <v>34</v>
      </c>
      <c r="O20" s="415" t="s">
        <v>34</v>
      </c>
      <c r="P20" s="415" t="s">
        <v>34</v>
      </c>
      <c r="Q20" s="415" t="s">
        <v>34</v>
      </c>
    </row>
    <row r="21" spans="1:17" ht="12" customHeight="1">
      <c r="A21" s="1">
        <f t="shared" si="0"/>
        <v>2010</v>
      </c>
      <c r="B21" s="415">
        <v>1.9259999999999999</v>
      </c>
      <c r="C21" s="415">
        <v>1.4019999999999999</v>
      </c>
      <c r="D21" s="415">
        <v>1.2370000000000001</v>
      </c>
      <c r="E21" s="415">
        <v>1.133</v>
      </c>
      <c r="F21" s="415">
        <v>1.087</v>
      </c>
      <c r="G21" s="415">
        <v>1.06</v>
      </c>
      <c r="H21" s="415">
        <v>1.0389999999999999</v>
      </c>
      <c r="I21" s="415">
        <v>1.0269999999999999</v>
      </c>
      <c r="J21" s="415">
        <v>1.0249999999999999</v>
      </c>
      <c r="K21" s="415" t="s">
        <v>34</v>
      </c>
      <c r="L21" s="415" t="s">
        <v>34</v>
      </c>
      <c r="M21" s="415" t="s">
        <v>34</v>
      </c>
      <c r="N21" s="415" t="s">
        <v>34</v>
      </c>
      <c r="O21" s="415" t="s">
        <v>34</v>
      </c>
      <c r="P21" s="415" t="s">
        <v>34</v>
      </c>
      <c r="Q21" s="415" t="s">
        <v>34</v>
      </c>
    </row>
    <row r="22" spans="1:17" ht="12" customHeight="1">
      <c r="A22" s="1">
        <f t="shared" si="0"/>
        <v>2011</v>
      </c>
      <c r="B22" s="415">
        <v>1.9570000000000001</v>
      </c>
      <c r="C22" s="415">
        <v>1.401</v>
      </c>
      <c r="D22" s="415">
        <v>1.2170000000000001</v>
      </c>
      <c r="E22" s="415">
        <v>1.131</v>
      </c>
      <c r="F22" s="415">
        <v>1.0820000000000001</v>
      </c>
      <c r="G22" s="415">
        <v>1.0549999999999999</v>
      </c>
      <c r="H22" s="415">
        <v>1.0369999999999999</v>
      </c>
      <c r="I22" s="415">
        <v>1.026</v>
      </c>
      <c r="J22" s="415" t="s">
        <v>34</v>
      </c>
      <c r="K22" s="415" t="s">
        <v>34</v>
      </c>
      <c r="L22" s="415" t="s">
        <v>34</v>
      </c>
      <c r="M22" s="415" t="s">
        <v>34</v>
      </c>
      <c r="N22" s="415" t="s">
        <v>34</v>
      </c>
      <c r="O22" s="415" t="s">
        <v>34</v>
      </c>
      <c r="P22" s="415" t="s">
        <v>34</v>
      </c>
      <c r="Q22" s="415" t="s">
        <v>34</v>
      </c>
    </row>
    <row r="23" spans="1:17" ht="12" customHeight="1">
      <c r="A23" s="1">
        <f t="shared" si="0"/>
        <v>2012</v>
      </c>
      <c r="B23" s="415">
        <v>1.9830000000000001</v>
      </c>
      <c r="C23" s="415">
        <v>1.3979999999999999</v>
      </c>
      <c r="D23" s="415">
        <v>1.2130000000000001</v>
      </c>
      <c r="E23" s="415">
        <v>1.1279999999999999</v>
      </c>
      <c r="F23" s="415">
        <v>1.0760000000000001</v>
      </c>
      <c r="G23" s="415">
        <v>1.0509999999999999</v>
      </c>
      <c r="H23" s="415">
        <v>1.036</v>
      </c>
      <c r="I23" s="415" t="s">
        <v>34</v>
      </c>
      <c r="J23" s="415" t="s">
        <v>34</v>
      </c>
      <c r="K23" s="415" t="s">
        <v>34</v>
      </c>
      <c r="L23" s="415" t="s">
        <v>34</v>
      </c>
      <c r="M23" s="415" t="s">
        <v>34</v>
      </c>
      <c r="N23" s="415" t="s">
        <v>34</v>
      </c>
      <c r="O23" s="415" t="s">
        <v>34</v>
      </c>
      <c r="P23" s="415" t="s">
        <v>34</v>
      </c>
      <c r="Q23" s="415" t="s">
        <v>34</v>
      </c>
    </row>
    <row r="24" spans="1:17" ht="12" customHeight="1">
      <c r="A24" s="1">
        <f t="shared" si="0"/>
        <v>2013</v>
      </c>
      <c r="B24" s="415">
        <v>1.9390000000000001</v>
      </c>
      <c r="C24" s="415">
        <v>1.39</v>
      </c>
      <c r="D24" s="415">
        <v>1.206</v>
      </c>
      <c r="E24" s="415">
        <v>1.111</v>
      </c>
      <c r="F24" s="415">
        <v>1.0680000000000001</v>
      </c>
      <c r="G24" s="415">
        <v>1.0429999999999999</v>
      </c>
      <c r="H24" s="415" t="s">
        <v>34</v>
      </c>
      <c r="I24" s="415" t="s">
        <v>34</v>
      </c>
      <c r="J24" s="415" t="s">
        <v>34</v>
      </c>
      <c r="K24" s="415" t="s">
        <v>34</v>
      </c>
      <c r="L24" s="415" t="s">
        <v>34</v>
      </c>
      <c r="M24" s="415" t="s">
        <v>34</v>
      </c>
      <c r="N24" s="415" t="s">
        <v>34</v>
      </c>
      <c r="O24" s="415" t="s">
        <v>34</v>
      </c>
      <c r="P24" s="415" t="s">
        <v>34</v>
      </c>
      <c r="Q24" s="415" t="s">
        <v>34</v>
      </c>
    </row>
    <row r="25" spans="1:17" ht="12" customHeight="1">
      <c r="A25" s="1">
        <f t="shared" si="0"/>
        <v>2014</v>
      </c>
      <c r="B25" s="415">
        <v>1.9359999999999999</v>
      </c>
      <c r="C25" s="415">
        <v>1.387</v>
      </c>
      <c r="D25" s="415">
        <v>1.194</v>
      </c>
      <c r="E25" s="415">
        <v>1.1060000000000001</v>
      </c>
      <c r="F25" s="415">
        <v>1.0669999999999999</v>
      </c>
      <c r="G25" s="415" t="s">
        <v>34</v>
      </c>
      <c r="H25" s="415" t="s">
        <v>34</v>
      </c>
      <c r="I25" s="415" t="s">
        <v>34</v>
      </c>
      <c r="J25" s="415" t="s">
        <v>34</v>
      </c>
      <c r="K25" s="415" t="s">
        <v>34</v>
      </c>
      <c r="L25" s="415" t="s">
        <v>34</v>
      </c>
      <c r="M25" s="415" t="s">
        <v>34</v>
      </c>
      <c r="N25" s="415" t="s">
        <v>34</v>
      </c>
      <c r="O25" s="415" t="s">
        <v>34</v>
      </c>
      <c r="P25" s="415" t="s">
        <v>34</v>
      </c>
      <c r="Q25" s="415" t="s">
        <v>34</v>
      </c>
    </row>
    <row r="26" spans="1:17" ht="12" customHeight="1">
      <c r="A26" s="1">
        <f t="shared" si="0"/>
        <v>2015</v>
      </c>
      <c r="B26" s="415">
        <v>1.9550000000000001</v>
      </c>
      <c r="C26" s="415">
        <v>1.359</v>
      </c>
      <c r="D26" s="415">
        <v>1.1850000000000001</v>
      </c>
      <c r="E26" s="415">
        <v>1.097</v>
      </c>
      <c r="F26" s="415" t="s">
        <v>34</v>
      </c>
      <c r="G26" s="415" t="s">
        <v>34</v>
      </c>
      <c r="H26" s="415" t="s">
        <v>34</v>
      </c>
      <c r="I26" s="415" t="s">
        <v>34</v>
      </c>
      <c r="J26" s="415" t="s">
        <v>34</v>
      </c>
      <c r="K26" s="415" t="s">
        <v>34</v>
      </c>
      <c r="L26" s="415" t="s">
        <v>34</v>
      </c>
      <c r="M26" s="415" t="s">
        <v>34</v>
      </c>
      <c r="N26" s="415" t="s">
        <v>34</v>
      </c>
      <c r="O26" s="415" t="s">
        <v>34</v>
      </c>
      <c r="P26" s="415" t="s">
        <v>34</v>
      </c>
      <c r="Q26" s="415" t="s">
        <v>34</v>
      </c>
    </row>
    <row r="27" spans="1:17" ht="12" customHeight="1">
      <c r="A27" s="1">
        <f t="shared" si="0"/>
        <v>2016</v>
      </c>
      <c r="B27" s="415">
        <v>1.8759999999999999</v>
      </c>
      <c r="C27" s="415">
        <v>1.339</v>
      </c>
      <c r="D27" s="415">
        <v>1.1679999999999999</v>
      </c>
      <c r="E27" s="415" t="s">
        <v>34</v>
      </c>
      <c r="F27" s="415" t="s">
        <v>34</v>
      </c>
      <c r="G27" s="415" t="s">
        <v>34</v>
      </c>
      <c r="H27" s="415" t="s">
        <v>34</v>
      </c>
      <c r="I27" s="415" t="s">
        <v>34</v>
      </c>
      <c r="J27" s="415" t="s">
        <v>34</v>
      </c>
      <c r="K27" s="415" t="s">
        <v>34</v>
      </c>
      <c r="L27" s="415" t="s">
        <v>34</v>
      </c>
      <c r="M27" s="415" t="s">
        <v>34</v>
      </c>
      <c r="N27" s="415" t="s">
        <v>34</v>
      </c>
      <c r="O27" s="415" t="s">
        <v>34</v>
      </c>
      <c r="P27" s="415" t="s">
        <v>34</v>
      </c>
      <c r="Q27" s="415" t="s">
        <v>34</v>
      </c>
    </row>
    <row r="28" spans="1:17" ht="12" customHeight="1">
      <c r="A28" s="1">
        <f t="shared" si="0"/>
        <v>2017</v>
      </c>
      <c r="B28" s="415">
        <v>1.8380000000000001</v>
      </c>
      <c r="C28" s="415">
        <v>1.32</v>
      </c>
      <c r="D28" s="415" t="s">
        <v>34</v>
      </c>
      <c r="E28" s="415" t="s">
        <v>34</v>
      </c>
      <c r="F28" s="415" t="s">
        <v>34</v>
      </c>
      <c r="G28" s="415" t="s">
        <v>34</v>
      </c>
      <c r="H28" s="415" t="s">
        <v>34</v>
      </c>
      <c r="I28" s="415" t="s">
        <v>34</v>
      </c>
      <c r="J28" s="415" t="s">
        <v>34</v>
      </c>
      <c r="K28" s="415" t="s">
        <v>34</v>
      </c>
      <c r="L28" s="415" t="s">
        <v>34</v>
      </c>
      <c r="M28" s="415" t="s">
        <v>34</v>
      </c>
      <c r="N28" s="415" t="s">
        <v>34</v>
      </c>
      <c r="O28" s="415" t="s">
        <v>34</v>
      </c>
      <c r="P28" s="415" t="s">
        <v>34</v>
      </c>
      <c r="Q28" s="415" t="s">
        <v>34</v>
      </c>
    </row>
    <row r="29" spans="1:17" ht="12" customHeight="1">
      <c r="A29" s="1">
        <f>'Exhibit 2.3.1'!A29</f>
        <v>2018</v>
      </c>
      <c r="B29" s="415">
        <v>1.849</v>
      </c>
      <c r="C29" s="415" t="s">
        <v>34</v>
      </c>
      <c r="D29" s="415" t="s">
        <v>34</v>
      </c>
      <c r="E29" s="415" t="s">
        <v>34</v>
      </c>
      <c r="F29" s="415" t="s">
        <v>34</v>
      </c>
      <c r="G29" s="415" t="s">
        <v>34</v>
      </c>
      <c r="H29" s="415" t="s">
        <v>34</v>
      </c>
      <c r="I29" s="415" t="s">
        <v>34</v>
      </c>
      <c r="J29" s="415" t="s">
        <v>34</v>
      </c>
      <c r="K29" s="415" t="s">
        <v>34</v>
      </c>
      <c r="L29" s="415" t="s">
        <v>34</v>
      </c>
      <c r="M29" s="415" t="s">
        <v>34</v>
      </c>
      <c r="N29" s="415" t="s">
        <v>34</v>
      </c>
      <c r="O29" s="415" t="s">
        <v>34</v>
      </c>
      <c r="P29" s="415" t="s">
        <v>34</v>
      </c>
      <c r="Q29" s="415" t="s">
        <v>34</v>
      </c>
    </row>
    <row r="30" spans="1:17" ht="12" customHeight="1">
      <c r="A30" s="17"/>
      <c r="B30" s="17"/>
      <c r="C30" s="17"/>
      <c r="D30" s="17"/>
      <c r="E30" s="17"/>
      <c r="F30" s="17"/>
      <c r="G30" s="17"/>
      <c r="H30" s="17"/>
      <c r="I30" s="17"/>
      <c r="J30" s="17"/>
      <c r="K30" s="17"/>
      <c r="L30" s="17"/>
      <c r="M30" s="17"/>
      <c r="N30" s="17"/>
      <c r="O30" s="17"/>
      <c r="P30" s="17"/>
    </row>
    <row r="31" spans="1:17" ht="12" customHeight="1">
      <c r="A31" s="1" t="s">
        <v>59</v>
      </c>
      <c r="B31" s="280" t="s">
        <v>18</v>
      </c>
      <c r="C31" s="280"/>
      <c r="D31" s="280"/>
      <c r="E31" s="280"/>
      <c r="F31" s="280"/>
      <c r="G31" s="280"/>
      <c r="H31" s="280"/>
      <c r="I31" s="280"/>
      <c r="J31" s="280"/>
      <c r="K31" s="280"/>
      <c r="L31" s="280"/>
      <c r="M31" s="280"/>
      <c r="N31" s="280"/>
      <c r="O31" s="280"/>
      <c r="P31" s="280"/>
      <c r="Q31" s="280"/>
    </row>
    <row r="32" spans="1:17" ht="12" customHeight="1">
      <c r="A32" s="11" t="s">
        <v>19</v>
      </c>
      <c r="B32" s="11" t="s">
        <v>470</v>
      </c>
      <c r="C32" s="11" t="s">
        <v>471</v>
      </c>
      <c r="D32" s="11" t="s">
        <v>472</v>
      </c>
      <c r="E32" s="11" t="s">
        <v>473</v>
      </c>
      <c r="F32" s="11" t="s">
        <v>474</v>
      </c>
      <c r="G32" s="11" t="s">
        <v>475</v>
      </c>
      <c r="H32" s="11" t="s">
        <v>476</v>
      </c>
      <c r="I32" s="11" t="s">
        <v>477</v>
      </c>
      <c r="J32" s="11" t="s">
        <v>478</v>
      </c>
      <c r="K32" s="11" t="s">
        <v>479</v>
      </c>
      <c r="L32" s="11" t="s">
        <v>480</v>
      </c>
      <c r="M32" s="11" t="s">
        <v>481</v>
      </c>
      <c r="N32" s="11" t="s">
        <v>482</v>
      </c>
      <c r="O32" s="11" t="s">
        <v>483</v>
      </c>
      <c r="P32" s="11" t="s">
        <v>484</v>
      </c>
      <c r="Q32" s="11" t="s">
        <v>485</v>
      </c>
    </row>
    <row r="33" spans="1:17" ht="12" customHeight="1">
      <c r="A33" s="12">
        <f t="shared" ref="A33:A50" si="1">+A12</f>
        <v>2001</v>
      </c>
      <c r="B33" s="414"/>
      <c r="C33" s="414"/>
      <c r="D33" s="414"/>
      <c r="E33" s="414"/>
      <c r="F33" s="414"/>
      <c r="G33" s="414"/>
      <c r="H33" s="414"/>
      <c r="I33" s="414"/>
      <c r="J33" s="414"/>
      <c r="K33" s="414"/>
      <c r="L33" s="414"/>
      <c r="M33" s="414"/>
      <c r="N33" s="414"/>
      <c r="O33" s="414"/>
      <c r="P33" s="414"/>
      <c r="Q33" s="415">
        <v>1.0109999999999999</v>
      </c>
    </row>
    <row r="34" spans="1:17" ht="12" customHeight="1">
      <c r="A34" s="12">
        <f t="shared" si="1"/>
        <v>2002</v>
      </c>
      <c r="B34" s="415"/>
      <c r="C34" s="415"/>
      <c r="D34" s="415"/>
      <c r="E34" s="415"/>
      <c r="F34" s="415"/>
      <c r="G34" s="415"/>
      <c r="H34" s="415"/>
      <c r="I34" s="415"/>
      <c r="J34" s="415"/>
      <c r="K34" s="415"/>
      <c r="L34" s="415"/>
      <c r="M34" s="415"/>
      <c r="N34" s="415"/>
      <c r="O34" s="415"/>
      <c r="P34" s="415">
        <v>1.012</v>
      </c>
      <c r="Q34" s="415">
        <v>1.01</v>
      </c>
    </row>
    <row r="35" spans="1:17" ht="12" customHeight="1">
      <c r="A35" s="12">
        <f t="shared" si="1"/>
        <v>2003</v>
      </c>
      <c r="B35" s="415"/>
      <c r="C35" s="415"/>
      <c r="D35" s="415"/>
      <c r="E35" s="415"/>
      <c r="F35" s="415"/>
      <c r="G35" s="415"/>
      <c r="H35" s="415"/>
      <c r="I35" s="415"/>
      <c r="J35" s="415"/>
      <c r="K35" s="415"/>
      <c r="L35" s="415"/>
      <c r="M35" s="415"/>
      <c r="N35" s="415"/>
      <c r="O35" s="415">
        <v>1.0129999999999999</v>
      </c>
      <c r="P35" s="415">
        <v>1.012</v>
      </c>
      <c r="Q35" s="415">
        <v>1.0129999999999999</v>
      </c>
    </row>
    <row r="36" spans="1:17" ht="12" customHeight="1">
      <c r="A36" s="12">
        <f t="shared" si="1"/>
        <v>2004</v>
      </c>
      <c r="B36" s="415"/>
      <c r="C36" s="415"/>
      <c r="D36" s="415"/>
      <c r="E36" s="415"/>
      <c r="F36" s="415"/>
      <c r="G36" s="415"/>
      <c r="H36" s="415"/>
      <c r="I36" s="415"/>
      <c r="J36" s="415"/>
      <c r="K36" s="415"/>
      <c r="L36" s="415"/>
      <c r="M36" s="415"/>
      <c r="N36" s="415">
        <v>1.0149999999999999</v>
      </c>
      <c r="O36" s="415">
        <v>1.0129999999999999</v>
      </c>
      <c r="P36" s="415">
        <v>1.0129999999999999</v>
      </c>
      <c r="Q36" s="415"/>
    </row>
    <row r="37" spans="1:17" ht="12" customHeight="1">
      <c r="A37" s="12">
        <f t="shared" si="1"/>
        <v>2005</v>
      </c>
      <c r="B37" s="415"/>
      <c r="C37" s="415"/>
      <c r="D37" s="415"/>
      <c r="E37" s="415"/>
      <c r="F37" s="415"/>
      <c r="G37" s="415"/>
      <c r="H37" s="415"/>
      <c r="I37" s="415"/>
      <c r="J37" s="415"/>
      <c r="K37" s="415"/>
      <c r="L37" s="415"/>
      <c r="M37" s="415">
        <v>1.0189999999999999</v>
      </c>
      <c r="N37" s="415">
        <v>1.0149999999999999</v>
      </c>
      <c r="O37" s="415">
        <v>1.0149999999999999</v>
      </c>
      <c r="P37" s="415"/>
      <c r="Q37" s="415"/>
    </row>
    <row r="38" spans="1:17" ht="12" customHeight="1">
      <c r="A38" s="12">
        <f t="shared" si="1"/>
        <v>2006</v>
      </c>
      <c r="B38" s="415"/>
      <c r="C38" s="415"/>
      <c r="D38" s="415"/>
      <c r="E38" s="415"/>
      <c r="F38" s="415"/>
      <c r="G38" s="415"/>
      <c r="H38" s="415"/>
      <c r="I38" s="415"/>
      <c r="J38" s="415"/>
      <c r="K38" s="415"/>
      <c r="L38" s="415">
        <v>1.02</v>
      </c>
      <c r="M38" s="415">
        <v>1.016</v>
      </c>
      <c r="N38" s="415">
        <v>1.014</v>
      </c>
      <c r="O38" s="415"/>
      <c r="P38" s="415"/>
      <c r="Q38" s="415"/>
    </row>
    <row r="39" spans="1:17" ht="12" customHeight="1">
      <c r="A39" s="12">
        <f t="shared" si="1"/>
        <v>2007</v>
      </c>
      <c r="B39" s="415"/>
      <c r="C39" s="415"/>
      <c r="D39" s="415"/>
      <c r="E39" s="415"/>
      <c r="F39" s="415"/>
      <c r="G39" s="415"/>
      <c r="H39" s="415"/>
      <c r="I39" s="415"/>
      <c r="J39" s="415"/>
      <c r="K39" s="415">
        <v>1.022</v>
      </c>
      <c r="L39" s="415">
        <v>1.0209999999999999</v>
      </c>
      <c r="M39" s="415">
        <v>1.0169999999999999</v>
      </c>
      <c r="N39" s="415"/>
      <c r="O39" s="415"/>
      <c r="P39" s="415"/>
      <c r="Q39" s="415"/>
    </row>
    <row r="40" spans="1:17" ht="12" customHeight="1">
      <c r="A40" s="12">
        <f t="shared" si="1"/>
        <v>2008</v>
      </c>
      <c r="B40" s="415"/>
      <c r="C40" s="415"/>
      <c r="D40" s="415"/>
      <c r="E40" s="415"/>
      <c r="F40" s="415"/>
      <c r="G40" s="415"/>
      <c r="H40" s="415"/>
      <c r="I40" s="415"/>
      <c r="J40" s="415">
        <v>1.026</v>
      </c>
      <c r="K40" s="415">
        <v>1.02</v>
      </c>
      <c r="L40" s="415">
        <v>1.0169999999999999</v>
      </c>
      <c r="M40" s="415"/>
      <c r="N40" s="415"/>
      <c r="O40" s="415"/>
      <c r="P40" s="415"/>
      <c r="Q40" s="415"/>
    </row>
    <row r="41" spans="1:17" ht="12" customHeight="1">
      <c r="A41" s="12">
        <f t="shared" si="1"/>
        <v>2009</v>
      </c>
      <c r="B41" s="415"/>
      <c r="C41" s="415"/>
      <c r="D41" s="415"/>
      <c r="E41" s="415"/>
      <c r="F41" s="415"/>
      <c r="G41" s="415"/>
      <c r="H41" s="415"/>
      <c r="I41" s="415">
        <v>1.0309999999999999</v>
      </c>
      <c r="J41" s="415">
        <v>1.0249999999999999</v>
      </c>
      <c r="K41" s="415">
        <v>1.0189999999999999</v>
      </c>
      <c r="L41" s="415"/>
      <c r="M41" s="415"/>
      <c r="N41" s="415"/>
      <c r="O41" s="415"/>
      <c r="P41" s="415"/>
      <c r="Q41" s="415"/>
    </row>
    <row r="42" spans="1:17" ht="12" customHeight="1">
      <c r="A42" s="12">
        <f t="shared" si="1"/>
        <v>2010</v>
      </c>
      <c r="B42" s="415"/>
      <c r="C42" s="415"/>
      <c r="D42" s="415"/>
      <c r="E42" s="415"/>
      <c r="F42" s="415"/>
      <c r="G42" s="415"/>
      <c r="H42" s="415">
        <v>1.0409999999999999</v>
      </c>
      <c r="I42" s="415">
        <v>1.0289999999999999</v>
      </c>
      <c r="J42" s="415">
        <v>1.0269999999999999</v>
      </c>
      <c r="K42" s="415"/>
      <c r="L42" s="415"/>
      <c r="M42" s="415"/>
      <c r="N42" s="415"/>
      <c r="O42" s="415"/>
      <c r="P42" s="415"/>
      <c r="Q42" s="415"/>
    </row>
    <row r="43" spans="1:17" ht="12" customHeight="1">
      <c r="A43" s="12">
        <f t="shared" si="1"/>
        <v>2011</v>
      </c>
      <c r="B43" s="415"/>
      <c r="C43" s="415"/>
      <c r="D43" s="415"/>
      <c r="E43" s="415"/>
      <c r="F43" s="415"/>
      <c r="G43" s="415">
        <v>1.0589999999999999</v>
      </c>
      <c r="H43" s="415">
        <v>1.0409999999999999</v>
      </c>
      <c r="I43" s="415">
        <v>1.0289999999999999</v>
      </c>
      <c r="J43" s="415"/>
      <c r="K43" s="415"/>
      <c r="L43" s="415"/>
      <c r="M43" s="415"/>
      <c r="N43" s="415"/>
      <c r="O43" s="415"/>
      <c r="P43" s="415"/>
      <c r="Q43" s="415"/>
    </row>
    <row r="44" spans="1:17" ht="12" customHeight="1">
      <c r="A44" s="12">
        <f t="shared" si="1"/>
        <v>2012</v>
      </c>
      <c r="B44" s="415"/>
      <c r="C44" s="415"/>
      <c r="D44" s="415"/>
      <c r="E44" s="415"/>
      <c r="F44" s="415">
        <v>1.0820000000000001</v>
      </c>
      <c r="G44" s="415">
        <v>1.056</v>
      </c>
      <c r="H44" s="415">
        <v>1.0389999999999999</v>
      </c>
      <c r="I44" s="415"/>
      <c r="J44" s="415"/>
      <c r="K44" s="415"/>
      <c r="L44" s="415"/>
      <c r="M44" s="415"/>
      <c r="N44" s="415"/>
      <c r="O44" s="415"/>
      <c r="P44" s="415"/>
      <c r="Q44" s="415"/>
    </row>
    <row r="45" spans="1:17" ht="12" customHeight="1">
      <c r="A45" s="12">
        <f t="shared" si="1"/>
        <v>2013</v>
      </c>
      <c r="B45" s="415"/>
      <c r="C45" s="415"/>
      <c r="D45" s="415"/>
      <c r="E45" s="415">
        <v>1.119</v>
      </c>
      <c r="F45" s="415">
        <v>1.0740000000000001</v>
      </c>
      <c r="G45" s="415">
        <v>1.046</v>
      </c>
      <c r="H45" s="415"/>
      <c r="I45" s="415"/>
      <c r="J45" s="415"/>
      <c r="K45" s="415"/>
      <c r="L45" s="415"/>
      <c r="M45" s="415"/>
      <c r="N45" s="415"/>
      <c r="O45" s="415"/>
      <c r="P45" s="415"/>
      <c r="Q45" s="415"/>
    </row>
    <row r="46" spans="1:17" ht="12" customHeight="1">
      <c r="A46" s="12">
        <f t="shared" si="1"/>
        <v>2014</v>
      </c>
      <c r="B46" s="415"/>
      <c r="C46" s="415"/>
      <c r="D46" s="415">
        <v>1.2030000000000001</v>
      </c>
      <c r="E46" s="415">
        <v>1.1120000000000001</v>
      </c>
      <c r="F46" s="415">
        <v>1.07</v>
      </c>
      <c r="G46" s="415"/>
      <c r="H46" s="415"/>
      <c r="I46" s="415"/>
      <c r="J46" s="415"/>
      <c r="K46" s="415"/>
      <c r="L46" s="415"/>
      <c r="M46" s="415"/>
      <c r="N46" s="415"/>
      <c r="O46" s="415"/>
      <c r="P46" s="415"/>
      <c r="Q46" s="415"/>
    </row>
    <row r="47" spans="1:17" ht="12" customHeight="1">
      <c r="A47" s="1">
        <f t="shared" si="1"/>
        <v>2015</v>
      </c>
      <c r="B47" s="21"/>
      <c r="C47" s="21">
        <v>1.365</v>
      </c>
      <c r="D47" s="21">
        <v>1.19</v>
      </c>
      <c r="E47" s="21">
        <v>1.099</v>
      </c>
      <c r="F47" s="21"/>
      <c r="G47" s="21"/>
      <c r="H47" s="21"/>
      <c r="I47" s="21"/>
      <c r="J47" s="21"/>
      <c r="K47" s="21"/>
      <c r="L47" s="21"/>
      <c r="M47" s="21"/>
      <c r="N47" s="21"/>
      <c r="O47" s="21"/>
      <c r="P47" s="21"/>
      <c r="Q47" s="21"/>
    </row>
    <row r="48" spans="1:17" ht="12" customHeight="1">
      <c r="A48" s="1">
        <f t="shared" si="1"/>
        <v>2016</v>
      </c>
      <c r="B48" s="21">
        <v>1.8819999999999999</v>
      </c>
      <c r="C48" s="21">
        <v>1.3440000000000001</v>
      </c>
      <c r="D48" s="21">
        <v>1.17</v>
      </c>
      <c r="E48" s="21"/>
      <c r="F48" s="21"/>
      <c r="G48" s="21"/>
      <c r="H48" s="21"/>
      <c r="I48" s="21"/>
      <c r="J48" s="21"/>
      <c r="K48" s="21"/>
      <c r="L48" s="21"/>
      <c r="M48" s="21"/>
      <c r="N48" s="21"/>
      <c r="O48" s="21"/>
      <c r="P48" s="21"/>
      <c r="Q48" s="21"/>
    </row>
    <row r="49" spans="1:17" ht="12" customHeight="1">
      <c r="A49" s="1">
        <f t="shared" si="1"/>
        <v>2017</v>
      </c>
      <c r="B49" s="21">
        <v>1.8440000000000001</v>
      </c>
      <c r="C49" s="21">
        <v>1.321</v>
      </c>
      <c r="D49" s="21"/>
      <c r="E49" s="21"/>
      <c r="F49" s="21"/>
      <c r="G49" s="21"/>
      <c r="H49" s="21"/>
      <c r="I49" s="21"/>
      <c r="J49" s="21"/>
      <c r="K49" s="21"/>
      <c r="L49" s="21"/>
      <c r="M49" s="21"/>
      <c r="N49" s="21"/>
      <c r="O49" s="21"/>
      <c r="P49" s="21"/>
      <c r="Q49" s="21"/>
    </row>
    <row r="50" spans="1:17" ht="12" customHeight="1">
      <c r="A50" s="1">
        <f t="shared" si="1"/>
        <v>2018</v>
      </c>
      <c r="B50" s="21">
        <v>1.849</v>
      </c>
      <c r="C50" s="21"/>
      <c r="D50" s="21"/>
      <c r="E50" s="21"/>
      <c r="F50" s="21"/>
      <c r="G50" s="21"/>
      <c r="H50" s="21"/>
      <c r="I50" s="21"/>
      <c r="J50" s="21"/>
      <c r="K50" s="21"/>
      <c r="L50" s="21"/>
      <c r="M50" s="21"/>
      <c r="N50" s="21"/>
      <c r="O50" s="21"/>
      <c r="P50" s="21"/>
      <c r="Q50" s="21"/>
    </row>
    <row r="51" spans="1:17">
      <c r="A51" s="1"/>
      <c r="B51" s="1"/>
      <c r="C51" s="16"/>
      <c r="D51" s="16"/>
      <c r="E51" s="16"/>
      <c r="F51" s="16"/>
      <c r="G51" s="16"/>
      <c r="H51" s="16"/>
      <c r="I51" s="17"/>
      <c r="J51" s="17"/>
      <c r="K51" s="17"/>
      <c r="L51" s="17"/>
      <c r="M51" s="17"/>
      <c r="N51" s="17"/>
      <c r="O51" s="17"/>
      <c r="P51" s="17"/>
      <c r="Q51" s="112"/>
    </row>
    <row r="52" spans="1:17">
      <c r="A52" s="1" t="s">
        <v>36</v>
      </c>
      <c r="B52" s="16">
        <f ca="1">OFFSET(B$51,-COUNTA($B$4:B$4),0)</f>
        <v>1.849</v>
      </c>
      <c r="C52" s="16">
        <f ca="1">OFFSET(C$51,-COUNTA($B$4:C$4),0)</f>
        <v>1.321</v>
      </c>
      <c r="D52" s="16">
        <f ca="1">OFFSET(D$51,-COUNTA($B$4:D$4),0)</f>
        <v>1.17</v>
      </c>
      <c r="E52" s="16">
        <f ca="1">OFFSET(E$51,-COUNTA($B$4:E$4),0)</f>
        <v>1.099</v>
      </c>
      <c r="F52" s="16">
        <f ca="1">OFFSET(F$51,-COUNTA($B$4:F$4),0)</f>
        <v>1.07</v>
      </c>
      <c r="G52" s="16">
        <f ca="1">OFFSET(G$51,-COUNTA($B$4:G$4),0)</f>
        <v>1.046</v>
      </c>
      <c r="H52" s="16">
        <f ca="1">OFFSET(H$51,-COUNTA($B$4:H$4),0)</f>
        <v>1.0389999999999999</v>
      </c>
      <c r="I52" s="16">
        <f ca="1">OFFSET(I$51,-COUNTA($B$4:I$4),0)</f>
        <v>1.0289999999999999</v>
      </c>
      <c r="J52" s="16">
        <f ca="1">AVERAGE(OFFSET(J$49:J$51,-COUNTA($B$4:J$4),0))</f>
        <v>1.026</v>
      </c>
      <c r="K52" s="16">
        <f ca="1">AVERAGE(OFFSET(K$49:K$51,-COUNTA($B$4:K$4),0))</f>
        <v>1.0203333333333333</v>
      </c>
      <c r="L52" s="16">
        <f ca="1">AVERAGE(OFFSET(L$49:L$51,-COUNTA($B$4:L$4),0))</f>
        <v>1.0193333333333332</v>
      </c>
      <c r="M52" s="16">
        <f ca="1">AVERAGE(OFFSET(M$49:M$51,-COUNTA($B$4:M$4),0))</f>
        <v>1.0173333333333334</v>
      </c>
      <c r="N52" s="16">
        <f ca="1">AVERAGE(OFFSET(N$49:N$51,-COUNTA($B$4:N$4),0))</f>
        <v>1.0146666666666666</v>
      </c>
      <c r="O52" s="16">
        <f ca="1">AVERAGE(OFFSET(O$49:O$51,-COUNTA($B$4:O$4),0))</f>
        <v>1.0136666666666665</v>
      </c>
      <c r="P52" s="16">
        <f ca="1">AVERAGE(OFFSET(P$49:P$51,-COUNTA($B$4:P$4),0))</f>
        <v>1.0123333333333333</v>
      </c>
      <c r="Q52" s="16">
        <f ca="1">AVERAGE(OFFSET(Q$49:Q$51,-COUNTA($B$4:Q$4),0))</f>
        <v>1.0113333333333332</v>
      </c>
    </row>
    <row r="53" spans="1:17">
      <c r="A53" s="1"/>
      <c r="B53" s="16"/>
      <c r="C53" s="16"/>
      <c r="D53" s="16"/>
      <c r="E53" s="16"/>
      <c r="F53" s="16"/>
      <c r="G53" s="16"/>
      <c r="H53" s="16"/>
      <c r="I53" s="16"/>
      <c r="J53" s="16"/>
      <c r="K53" s="16"/>
      <c r="L53" s="16"/>
      <c r="M53" s="16"/>
      <c r="N53" s="16"/>
      <c r="O53" s="16"/>
      <c r="P53" s="16"/>
      <c r="Q53" s="16"/>
    </row>
    <row r="54" spans="1:17">
      <c r="A54" s="22" t="s">
        <v>247</v>
      </c>
      <c r="B54" s="16"/>
      <c r="C54" s="16"/>
      <c r="D54" s="16"/>
      <c r="E54" s="16"/>
      <c r="F54" s="16"/>
      <c r="G54" s="16"/>
      <c r="H54" s="16"/>
      <c r="I54" s="16"/>
      <c r="J54" s="16"/>
      <c r="K54" s="16"/>
      <c r="L54" s="16"/>
      <c r="M54" s="16"/>
      <c r="N54" s="16"/>
      <c r="O54" s="16"/>
      <c r="P54" s="16"/>
      <c r="Q54" s="16"/>
    </row>
    <row r="55" spans="1:17">
      <c r="A55" s="391" t="s">
        <v>334</v>
      </c>
      <c r="B55" s="16">
        <f t="shared" ref="B55:O55" ca="1" si="2">C55*B52</f>
        <v>5.0842127735537845</v>
      </c>
      <c r="C55" s="16">
        <f t="shared" ca="1" si="2"/>
        <v>2.7497094502724635</v>
      </c>
      <c r="D55" s="16">
        <f t="shared" ca="1" si="2"/>
        <v>2.0815362984651502</v>
      </c>
      <c r="E55" s="16">
        <f t="shared" ca="1" si="2"/>
        <v>1.7790908533890175</v>
      </c>
      <c r="F55" s="16">
        <f t="shared" ca="1" si="2"/>
        <v>1.618826982155612</v>
      </c>
      <c r="G55" s="16">
        <f t="shared" ca="1" si="2"/>
        <v>1.5129224132295438</v>
      </c>
      <c r="H55" s="16">
        <f t="shared" ca="1" si="2"/>
        <v>1.4463885403724128</v>
      </c>
      <c r="I55" s="16">
        <f t="shared" ca="1" si="2"/>
        <v>1.3920967664797044</v>
      </c>
      <c r="J55" s="16">
        <f t="shared" ca="1" si="2"/>
        <v>1.3528637186391685</v>
      </c>
      <c r="K55" s="16">
        <f t="shared" ca="1" si="2"/>
        <v>1.31858062245533</v>
      </c>
      <c r="L55" s="16">
        <f t="shared" ca="1" si="2"/>
        <v>1.2923037789500131</v>
      </c>
      <c r="M55" s="16">
        <f t="shared" ca="1" si="2"/>
        <v>1.2677931121157751</v>
      </c>
      <c r="N55" s="16">
        <f t="shared" ca="1" si="2"/>
        <v>1.2461924431020068</v>
      </c>
      <c r="O55" s="16">
        <f t="shared" ca="1" si="2"/>
        <v>1.2281791489178779</v>
      </c>
      <c r="P55" s="16">
        <f ca="1">Q55*P52</f>
        <v>1.2116203376368413</v>
      </c>
      <c r="Q55" s="16">
        <f ca="1">'Exhibit 2.4.2'!B50*'Exhibit 2.4.1'!Q52</f>
        <v>1.196859075703169</v>
      </c>
    </row>
    <row r="56" spans="1:17">
      <c r="A56" s="391"/>
      <c r="B56" s="16"/>
      <c r="C56" s="16"/>
      <c r="D56" s="16"/>
      <c r="E56" s="16"/>
      <c r="F56" s="16"/>
      <c r="G56" s="16"/>
      <c r="H56" s="16"/>
      <c r="I56" s="16"/>
      <c r="J56" s="16"/>
      <c r="K56" s="16"/>
      <c r="L56" s="16"/>
      <c r="M56" s="16"/>
      <c r="N56" s="16"/>
      <c r="O56" s="16"/>
      <c r="P56" s="16"/>
      <c r="Q56" s="16"/>
    </row>
    <row r="57" spans="1:17">
      <c r="A57" s="22" t="s">
        <v>336</v>
      </c>
      <c r="B57" s="16"/>
      <c r="C57" s="16"/>
      <c r="D57" s="16"/>
      <c r="E57" s="16"/>
      <c r="F57" s="16"/>
      <c r="G57" s="16"/>
      <c r="H57" s="16"/>
      <c r="I57" s="16"/>
      <c r="J57" s="16"/>
      <c r="K57" s="16"/>
      <c r="L57" s="16"/>
      <c r="M57" s="16"/>
      <c r="N57" s="16"/>
      <c r="O57" s="16"/>
      <c r="P57" s="16"/>
      <c r="Q57" s="16"/>
    </row>
    <row r="58" spans="1:17">
      <c r="A58" s="391" t="s">
        <v>337</v>
      </c>
      <c r="B58" s="431">
        <f ca="1">B52*C55*C69</f>
        <v>4.8963979638004833</v>
      </c>
      <c r="C58" s="431">
        <f ca="1">C52*D55*C70</f>
        <v>2.6481330253112403</v>
      </c>
      <c r="D58" s="431">
        <f ca="1">D52*E55*C71</f>
        <v>2.0046427140887513</v>
      </c>
      <c r="E58" s="431">
        <f ca="1">E52*F55*C72</f>
        <v>1.735155083533449</v>
      </c>
      <c r="F58" s="431">
        <f ca="1">F52*G55*C73</f>
        <v>1.59472579045091</v>
      </c>
      <c r="G58" s="431">
        <f ca="1">G52*H55*C74</f>
        <v>1.5022315759193365</v>
      </c>
      <c r="H58" s="335" t="s">
        <v>32</v>
      </c>
      <c r="I58" s="335" t="s">
        <v>32</v>
      </c>
      <c r="J58" s="335" t="s">
        <v>32</v>
      </c>
      <c r="K58" s="335" t="s">
        <v>32</v>
      </c>
      <c r="L58" s="335" t="s">
        <v>32</v>
      </c>
      <c r="M58" s="335" t="s">
        <v>32</v>
      </c>
      <c r="N58" s="335" t="s">
        <v>32</v>
      </c>
      <c r="O58" s="335" t="s">
        <v>32</v>
      </c>
      <c r="P58" s="335" t="s">
        <v>32</v>
      </c>
      <c r="Q58" s="335" t="s">
        <v>32</v>
      </c>
    </row>
    <row r="59" spans="1:17">
      <c r="A59" s="14"/>
      <c r="B59" s="14"/>
      <c r="C59" s="13"/>
      <c r="D59" s="13"/>
      <c r="E59" s="13"/>
      <c r="F59" s="13"/>
      <c r="G59" s="13"/>
      <c r="H59" s="13"/>
      <c r="I59" s="13"/>
      <c r="J59" s="13"/>
      <c r="K59" s="13"/>
      <c r="L59" s="13"/>
      <c r="M59" s="13"/>
      <c r="N59" s="13"/>
      <c r="O59" s="13"/>
      <c r="P59" s="13"/>
    </row>
    <row r="60" spans="1:17" ht="12.75" customHeight="1">
      <c r="A60" s="9" t="s">
        <v>37</v>
      </c>
      <c r="B60" s="357" t="s">
        <v>304</v>
      </c>
      <c r="C60" s="238"/>
      <c r="D60" s="238"/>
      <c r="E60" s="238"/>
      <c r="F60" s="238"/>
      <c r="G60" s="238"/>
      <c r="H60" s="238"/>
      <c r="I60" s="238"/>
      <c r="J60" s="238"/>
      <c r="K60" s="238"/>
      <c r="L60" s="238"/>
      <c r="M60" s="238"/>
      <c r="N60" s="238"/>
      <c r="O60" s="238"/>
      <c r="P60" s="238"/>
    </row>
    <row r="61" spans="1:17" ht="12.75" customHeight="1">
      <c r="A61" s="9" t="s">
        <v>25</v>
      </c>
      <c r="B61" s="169" t="s">
        <v>557</v>
      </c>
      <c r="C61" s="347"/>
      <c r="D61" s="347"/>
      <c r="E61" s="347"/>
      <c r="F61" s="347"/>
      <c r="G61" s="347"/>
      <c r="H61" s="347"/>
      <c r="I61" s="347"/>
      <c r="J61" s="347"/>
      <c r="K61" s="347"/>
      <c r="L61" s="347"/>
      <c r="M61" s="347"/>
      <c r="N61" s="347"/>
      <c r="O61" s="347"/>
      <c r="P61" s="347"/>
    </row>
    <row r="62" spans="1:17" ht="12.75" customHeight="1">
      <c r="A62" s="9"/>
      <c r="B62" s="169" t="s">
        <v>558</v>
      </c>
      <c r="C62" s="347"/>
      <c r="D62" s="347"/>
      <c r="E62" s="347"/>
      <c r="F62" s="347"/>
      <c r="G62" s="347"/>
      <c r="H62" s="347"/>
      <c r="I62" s="347"/>
      <c r="J62" s="347"/>
      <c r="K62" s="347"/>
      <c r="L62" s="347"/>
      <c r="M62" s="347"/>
      <c r="N62" s="347"/>
      <c r="O62" s="347"/>
      <c r="P62" s="347"/>
    </row>
    <row r="63" spans="1:17" ht="12.75" customHeight="1">
      <c r="A63" s="9" t="s">
        <v>26</v>
      </c>
      <c r="B63" s="169" t="s">
        <v>554</v>
      </c>
      <c r="C63" s="356"/>
      <c r="D63" s="356"/>
      <c r="E63" s="356"/>
      <c r="F63" s="356"/>
      <c r="G63" s="356"/>
      <c r="H63" s="356"/>
      <c r="I63" s="356"/>
      <c r="J63" s="356"/>
      <c r="K63" s="356"/>
      <c r="L63" s="356"/>
      <c r="M63" s="356"/>
      <c r="N63" s="356"/>
      <c r="O63" s="356"/>
      <c r="P63" s="356"/>
    </row>
    <row r="64" spans="1:17" ht="12.75" customHeight="1">
      <c r="A64" s="9" t="s">
        <v>30</v>
      </c>
      <c r="B64" s="36" t="s">
        <v>547</v>
      </c>
      <c r="C64" s="36"/>
      <c r="D64" s="36"/>
      <c r="E64" s="36"/>
      <c r="F64" s="36"/>
      <c r="G64" s="36"/>
      <c r="H64" s="36"/>
      <c r="I64" s="36"/>
      <c r="J64" s="36"/>
      <c r="K64" s="36"/>
      <c r="L64" s="36"/>
      <c r="M64" s="36"/>
      <c r="N64" s="36"/>
      <c r="O64" s="36"/>
      <c r="P64" s="36"/>
    </row>
    <row r="66" spans="1:3">
      <c r="A66" s="399" t="s">
        <v>550</v>
      </c>
    </row>
    <row r="67" spans="1:3">
      <c r="A67" s="494"/>
      <c r="B67" s="131" t="s">
        <v>549</v>
      </c>
      <c r="C67" s="495"/>
    </row>
    <row r="68" spans="1:3">
      <c r="A68" s="501" t="s">
        <v>186</v>
      </c>
      <c r="B68" s="111" t="s">
        <v>257</v>
      </c>
      <c r="C68" s="502" t="s">
        <v>256</v>
      </c>
    </row>
    <row r="69" spans="1:3">
      <c r="A69" s="503">
        <v>2019</v>
      </c>
      <c r="B69" s="506">
        <v>-3.6940784762243939E-2</v>
      </c>
      <c r="C69" s="505">
        <f>1+B69</f>
        <v>0.96305921523775606</v>
      </c>
    </row>
    <row r="70" spans="1:3">
      <c r="A70" s="496">
        <f>A69-1</f>
        <v>2018</v>
      </c>
      <c r="B70" s="507">
        <v>-3.6940784762243939E-2</v>
      </c>
      <c r="C70" s="497">
        <f t="shared" ref="C70:C74" si="3">1+B70</f>
        <v>0.96305921523775606</v>
      </c>
    </row>
    <row r="71" spans="1:3">
      <c r="A71" s="496">
        <f t="shared" ref="A71:A74" si="4">A70-1</f>
        <v>2017</v>
      </c>
      <c r="B71" s="507">
        <v>-3.6940784762243939E-2</v>
      </c>
      <c r="C71" s="497">
        <f t="shared" si="3"/>
        <v>0.96305921523775606</v>
      </c>
    </row>
    <row r="72" spans="1:3">
      <c r="A72" s="496">
        <f t="shared" si="4"/>
        <v>2016</v>
      </c>
      <c r="B72" s="507">
        <v>-2.4695630227019927E-2</v>
      </c>
      <c r="C72" s="497">
        <f t="shared" si="3"/>
        <v>0.97530436977298007</v>
      </c>
    </row>
    <row r="73" spans="1:3">
      <c r="A73" s="496">
        <f t="shared" si="4"/>
        <v>2015</v>
      </c>
      <c r="B73" s="507">
        <v>-1.4888059051628377E-2</v>
      </c>
      <c r="C73" s="497">
        <f t="shared" si="3"/>
        <v>0.98511194094837162</v>
      </c>
    </row>
    <row r="74" spans="1:3">
      <c r="A74" s="498">
        <f t="shared" si="4"/>
        <v>2014</v>
      </c>
      <c r="B74" s="508">
        <v>-7.0663486882887039E-3</v>
      </c>
      <c r="C74" s="500">
        <f t="shared" si="3"/>
        <v>0.9929336513117113</v>
      </c>
    </row>
  </sheetData>
  <printOptions horizontalCentered="1"/>
  <pageMargins left="0.7" right="0.7" top="0.75" bottom="0.75" header="0.3" footer="0.3"/>
  <pageSetup scale="67" orientation="landscape" blackAndWhite="1"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54"/>
  <sheetViews>
    <sheetView zoomScaleNormal="100" workbookViewId="0"/>
  </sheetViews>
  <sheetFormatPr defaultColWidth="9.1328125" defaultRowHeight="12.75"/>
  <cols>
    <col min="1" max="1" width="12.73046875" style="178" customWidth="1"/>
    <col min="2" max="17" width="7.73046875" style="178" customWidth="1"/>
    <col min="18" max="18" width="7.73046875" style="265" customWidth="1"/>
    <col min="19" max="19" width="7.73046875" style="319" customWidth="1"/>
    <col min="20" max="20" width="13.1328125" style="178" customWidth="1"/>
    <col min="21" max="16384" width="9.1328125" style="178"/>
  </cols>
  <sheetData>
    <row r="1" spans="1:20" ht="15" customHeight="1">
      <c r="A1" s="277" t="s">
        <v>40</v>
      </c>
      <c r="B1" s="277"/>
      <c r="C1" s="277"/>
      <c r="D1" s="277"/>
      <c r="E1" s="277"/>
      <c r="F1" s="277"/>
      <c r="G1" s="277"/>
      <c r="H1" s="277"/>
      <c r="I1" s="277"/>
      <c r="J1" s="277"/>
      <c r="K1" s="277"/>
      <c r="L1" s="277"/>
      <c r="M1" s="277"/>
      <c r="N1" s="277"/>
      <c r="O1" s="277"/>
      <c r="P1" s="277"/>
      <c r="Q1" s="277"/>
      <c r="R1" s="277"/>
      <c r="S1" s="277"/>
      <c r="T1" s="278"/>
    </row>
    <row r="2" spans="1:20">
      <c r="A2" s="17"/>
      <c r="B2" s="17"/>
      <c r="C2" s="17"/>
      <c r="D2" s="17"/>
      <c r="E2" s="17"/>
      <c r="F2" s="17"/>
      <c r="G2" s="17"/>
      <c r="H2" s="17"/>
      <c r="I2" s="17"/>
      <c r="J2" s="17"/>
      <c r="K2" s="17"/>
      <c r="L2" s="17"/>
      <c r="M2" s="17"/>
      <c r="N2" s="17"/>
      <c r="O2" s="17"/>
      <c r="P2" s="17"/>
      <c r="Q2" s="17"/>
      <c r="R2" s="17"/>
      <c r="S2" s="17"/>
      <c r="T2" s="17"/>
    </row>
    <row r="3" spans="1:20" ht="14.25">
      <c r="A3" s="1" t="s">
        <v>58</v>
      </c>
      <c r="B3" s="280" t="s">
        <v>18</v>
      </c>
      <c r="C3" s="280"/>
      <c r="D3" s="280"/>
      <c r="E3" s="280"/>
      <c r="F3" s="280"/>
      <c r="G3" s="280"/>
      <c r="H3" s="280"/>
      <c r="I3" s="280"/>
      <c r="J3" s="280"/>
      <c r="K3" s="280"/>
      <c r="L3" s="280"/>
      <c r="M3" s="280"/>
      <c r="N3" s="280"/>
      <c r="O3" s="280"/>
      <c r="P3" s="280"/>
      <c r="Q3" s="280"/>
      <c r="R3" s="280"/>
      <c r="S3" s="280"/>
      <c r="T3" s="281"/>
    </row>
    <row r="4" spans="1:20">
      <c r="A4" s="19" t="s">
        <v>19</v>
      </c>
      <c r="B4" s="414" t="s">
        <v>486</v>
      </c>
      <c r="C4" s="414" t="s">
        <v>487</v>
      </c>
      <c r="D4" s="414" t="s">
        <v>488</v>
      </c>
      <c r="E4" s="414" t="s">
        <v>489</v>
      </c>
      <c r="F4" s="414" t="s">
        <v>490</v>
      </c>
      <c r="G4" s="414" t="s">
        <v>491</v>
      </c>
      <c r="H4" s="414" t="s">
        <v>492</v>
      </c>
      <c r="I4" s="414" t="s">
        <v>493</v>
      </c>
      <c r="J4" s="414" t="s">
        <v>494</v>
      </c>
      <c r="K4" s="414" t="s">
        <v>495</v>
      </c>
      <c r="L4" s="414" t="s">
        <v>496</v>
      </c>
      <c r="M4" s="414" t="s">
        <v>497</v>
      </c>
      <c r="N4" s="414" t="s">
        <v>498</v>
      </c>
      <c r="O4" s="414" t="s">
        <v>499</v>
      </c>
      <c r="P4" s="414" t="s">
        <v>500</v>
      </c>
      <c r="Q4" s="414" t="s">
        <v>501</v>
      </c>
      <c r="R4" s="414" t="s">
        <v>502</v>
      </c>
      <c r="S4" s="414" t="s">
        <v>503</v>
      </c>
      <c r="T4" s="414" t="s">
        <v>504</v>
      </c>
    </row>
    <row r="5" spans="1:20">
      <c r="A5" s="1">
        <f t="shared" ref="A5:A21" si="0">+A6-1</f>
        <v>1983</v>
      </c>
      <c r="B5" s="415" t="s">
        <v>34</v>
      </c>
      <c r="C5" s="415" t="s">
        <v>34</v>
      </c>
      <c r="D5" s="415" t="s">
        <v>34</v>
      </c>
      <c r="E5" s="415" t="s">
        <v>34</v>
      </c>
      <c r="F5" s="415" t="s">
        <v>34</v>
      </c>
      <c r="G5" s="415">
        <v>1.0049999999999999</v>
      </c>
      <c r="H5" s="415">
        <v>1.004</v>
      </c>
      <c r="I5" s="415">
        <v>1.004</v>
      </c>
      <c r="J5" s="415">
        <v>1.004</v>
      </c>
      <c r="K5" s="415">
        <v>1.0049999999999999</v>
      </c>
      <c r="L5" s="415">
        <v>1.004</v>
      </c>
      <c r="M5" s="415">
        <v>1.004</v>
      </c>
      <c r="N5" s="415">
        <v>1.004</v>
      </c>
      <c r="O5" s="415">
        <v>1.004</v>
      </c>
      <c r="P5" s="415">
        <v>1.0029999999999999</v>
      </c>
      <c r="Q5" s="415">
        <v>1.0029999999999999</v>
      </c>
      <c r="R5" s="415">
        <v>1.004</v>
      </c>
      <c r="S5" s="415">
        <v>1.0029999999999999</v>
      </c>
      <c r="T5" s="16"/>
    </row>
    <row r="6" spans="1:20" s="326" customFormat="1">
      <c r="A6" s="1">
        <f t="shared" si="0"/>
        <v>1984</v>
      </c>
      <c r="B6" s="415" t="s">
        <v>34</v>
      </c>
      <c r="C6" s="415" t="s">
        <v>34</v>
      </c>
      <c r="D6" s="415" t="s">
        <v>34</v>
      </c>
      <c r="E6" s="415" t="s">
        <v>34</v>
      </c>
      <c r="F6" s="415">
        <v>1.004</v>
      </c>
      <c r="G6" s="415">
        <v>1.004</v>
      </c>
      <c r="H6" s="415">
        <v>1.0029999999999999</v>
      </c>
      <c r="I6" s="415">
        <v>1.0029999999999999</v>
      </c>
      <c r="J6" s="415">
        <v>1.0029999999999999</v>
      </c>
      <c r="K6" s="415">
        <v>1.004</v>
      </c>
      <c r="L6" s="415">
        <v>1.004</v>
      </c>
      <c r="M6" s="415">
        <v>1.0029999999999999</v>
      </c>
      <c r="N6" s="415">
        <v>1.0029999999999999</v>
      </c>
      <c r="O6" s="415">
        <v>1.002</v>
      </c>
      <c r="P6" s="415">
        <v>1.0029999999999999</v>
      </c>
      <c r="Q6" s="415">
        <v>1.002</v>
      </c>
      <c r="R6" s="415">
        <v>1.0009999999999999</v>
      </c>
      <c r="S6" s="415">
        <v>1.002</v>
      </c>
      <c r="T6" s="16"/>
    </row>
    <row r="7" spans="1:20">
      <c r="A7" s="1">
        <f t="shared" si="0"/>
        <v>1985</v>
      </c>
      <c r="B7" s="415" t="s">
        <v>34</v>
      </c>
      <c r="C7" s="415" t="s">
        <v>34</v>
      </c>
      <c r="D7" s="415" t="s">
        <v>34</v>
      </c>
      <c r="E7" s="415">
        <v>1.0049999999999999</v>
      </c>
      <c r="F7" s="415">
        <v>1.0049999999999999</v>
      </c>
      <c r="G7" s="415">
        <v>1.006</v>
      </c>
      <c r="H7" s="415">
        <v>1.004</v>
      </c>
      <c r="I7" s="415">
        <v>1.004</v>
      </c>
      <c r="J7" s="415">
        <v>1.0029999999999999</v>
      </c>
      <c r="K7" s="415">
        <v>1.004</v>
      </c>
      <c r="L7" s="415">
        <v>1.004</v>
      </c>
      <c r="M7" s="415">
        <v>1.0029999999999999</v>
      </c>
      <c r="N7" s="415">
        <v>1.0029999999999999</v>
      </c>
      <c r="O7" s="415">
        <v>1.002</v>
      </c>
      <c r="P7" s="415">
        <v>1.0029999999999999</v>
      </c>
      <c r="Q7" s="415">
        <v>1.002</v>
      </c>
      <c r="R7" s="415">
        <v>1.002</v>
      </c>
      <c r="S7" s="415">
        <v>1.002</v>
      </c>
      <c r="T7" s="16"/>
    </row>
    <row r="8" spans="1:20">
      <c r="A8" s="1">
        <f t="shared" si="0"/>
        <v>1986</v>
      </c>
      <c r="B8" s="415" t="s">
        <v>34</v>
      </c>
      <c r="C8" s="415" t="s">
        <v>34</v>
      </c>
      <c r="D8" s="415">
        <v>1.006</v>
      </c>
      <c r="E8" s="415">
        <v>1.004</v>
      </c>
      <c r="F8" s="415">
        <v>1.004</v>
      </c>
      <c r="G8" s="415">
        <v>1.004</v>
      </c>
      <c r="H8" s="415">
        <v>1.0049999999999999</v>
      </c>
      <c r="I8" s="415">
        <v>1.0049999999999999</v>
      </c>
      <c r="J8" s="415">
        <v>1.0049999999999999</v>
      </c>
      <c r="K8" s="415">
        <v>1.0049999999999999</v>
      </c>
      <c r="L8" s="415">
        <v>1.0049999999999999</v>
      </c>
      <c r="M8" s="415">
        <v>1.006</v>
      </c>
      <c r="N8" s="415">
        <v>1.004</v>
      </c>
      <c r="O8" s="415">
        <v>1.006</v>
      </c>
      <c r="P8" s="415">
        <v>1.004</v>
      </c>
      <c r="Q8" s="415">
        <v>1.0029999999999999</v>
      </c>
      <c r="R8" s="415">
        <v>1.0029999999999999</v>
      </c>
      <c r="S8" s="415" t="s">
        <v>34</v>
      </c>
      <c r="T8" s="16"/>
    </row>
    <row r="9" spans="1:20">
      <c r="A9" s="1">
        <f t="shared" si="0"/>
        <v>1987</v>
      </c>
      <c r="B9" s="415" t="s">
        <v>34</v>
      </c>
      <c r="C9" s="415">
        <v>1.0069999999999999</v>
      </c>
      <c r="D9" s="415">
        <v>1.006</v>
      </c>
      <c r="E9" s="415">
        <v>1.008</v>
      </c>
      <c r="F9" s="415">
        <v>1.0049999999999999</v>
      </c>
      <c r="G9" s="415">
        <v>1.0049999999999999</v>
      </c>
      <c r="H9" s="415">
        <v>1.0049999999999999</v>
      </c>
      <c r="I9" s="415">
        <v>1.0049999999999999</v>
      </c>
      <c r="J9" s="415">
        <v>1.0049999999999999</v>
      </c>
      <c r="K9" s="415">
        <v>1.006</v>
      </c>
      <c r="L9" s="415">
        <v>1.0049999999999999</v>
      </c>
      <c r="M9" s="415">
        <v>1.0029999999999999</v>
      </c>
      <c r="N9" s="415">
        <v>1.0029999999999999</v>
      </c>
      <c r="O9" s="415">
        <v>1.002</v>
      </c>
      <c r="P9" s="415">
        <v>1.0029999999999999</v>
      </c>
      <c r="Q9" s="415">
        <v>1.002</v>
      </c>
      <c r="R9" s="415" t="s">
        <v>34</v>
      </c>
      <c r="S9" s="415" t="s">
        <v>34</v>
      </c>
      <c r="T9" s="16"/>
    </row>
    <row r="10" spans="1:20">
      <c r="A10" s="1">
        <f t="shared" si="0"/>
        <v>1988</v>
      </c>
      <c r="B10" s="415">
        <v>1.006</v>
      </c>
      <c r="C10" s="415">
        <v>1.0049999999999999</v>
      </c>
      <c r="D10" s="415">
        <v>1.008</v>
      </c>
      <c r="E10" s="415">
        <v>1.0049999999999999</v>
      </c>
      <c r="F10" s="415">
        <v>1.0049999999999999</v>
      </c>
      <c r="G10" s="415">
        <v>1.006</v>
      </c>
      <c r="H10" s="415">
        <v>1.006</v>
      </c>
      <c r="I10" s="415">
        <v>1.004</v>
      </c>
      <c r="J10" s="415">
        <v>1.0049999999999999</v>
      </c>
      <c r="K10" s="415">
        <v>1.004</v>
      </c>
      <c r="L10" s="415">
        <v>1.0029999999999999</v>
      </c>
      <c r="M10" s="415">
        <v>1.0029999999999999</v>
      </c>
      <c r="N10" s="415">
        <v>1.0029999999999999</v>
      </c>
      <c r="O10" s="415">
        <v>1.004</v>
      </c>
      <c r="P10" s="415">
        <v>1.002</v>
      </c>
      <c r="Q10" s="415" t="s">
        <v>34</v>
      </c>
      <c r="R10" s="415" t="s">
        <v>34</v>
      </c>
      <c r="S10" s="415" t="s">
        <v>34</v>
      </c>
      <c r="T10" s="16"/>
    </row>
    <row r="11" spans="1:20">
      <c r="A11" s="1">
        <f t="shared" si="0"/>
        <v>1989</v>
      </c>
      <c r="B11" s="415">
        <v>1.0049999999999999</v>
      </c>
      <c r="C11" s="415">
        <v>1.006</v>
      </c>
      <c r="D11" s="415">
        <v>1.006</v>
      </c>
      <c r="E11" s="415">
        <v>1.0049999999999999</v>
      </c>
      <c r="F11" s="415">
        <v>1.0049999999999999</v>
      </c>
      <c r="G11" s="415">
        <v>1.008</v>
      </c>
      <c r="H11" s="415">
        <v>1.006</v>
      </c>
      <c r="I11" s="415">
        <v>1.006</v>
      </c>
      <c r="J11" s="415">
        <v>1.0049999999999999</v>
      </c>
      <c r="K11" s="415">
        <v>1.0029999999999999</v>
      </c>
      <c r="L11" s="415">
        <v>1.0029999999999999</v>
      </c>
      <c r="M11" s="415">
        <v>1.0029999999999999</v>
      </c>
      <c r="N11" s="415">
        <v>1.0029999999999999</v>
      </c>
      <c r="O11" s="415">
        <v>1.0029999999999999</v>
      </c>
      <c r="P11" s="415" t="s">
        <v>34</v>
      </c>
      <c r="Q11" s="415" t="s">
        <v>34</v>
      </c>
      <c r="R11" s="415" t="s">
        <v>34</v>
      </c>
      <c r="S11" s="415" t="s">
        <v>34</v>
      </c>
      <c r="T11" s="16"/>
    </row>
    <row r="12" spans="1:20">
      <c r="A12" s="1">
        <f t="shared" si="0"/>
        <v>1990</v>
      </c>
      <c r="B12" s="415">
        <v>1.0049999999999999</v>
      </c>
      <c r="C12" s="415">
        <v>1.0049999999999999</v>
      </c>
      <c r="D12" s="415">
        <v>1.0049999999999999</v>
      </c>
      <c r="E12" s="415">
        <v>1.0049999999999999</v>
      </c>
      <c r="F12" s="415">
        <v>1.006</v>
      </c>
      <c r="G12" s="415">
        <v>1.004</v>
      </c>
      <c r="H12" s="415">
        <v>1.004</v>
      </c>
      <c r="I12" s="415">
        <v>1.004</v>
      </c>
      <c r="J12" s="415">
        <v>1.0029999999999999</v>
      </c>
      <c r="K12" s="415">
        <v>1.002</v>
      </c>
      <c r="L12" s="415">
        <v>1.002</v>
      </c>
      <c r="M12" s="415">
        <v>1.0029999999999999</v>
      </c>
      <c r="N12" s="415">
        <v>1.0029999999999999</v>
      </c>
      <c r="O12" s="415" t="s">
        <v>34</v>
      </c>
      <c r="P12" s="415" t="s">
        <v>34</v>
      </c>
      <c r="Q12" s="415" t="s">
        <v>34</v>
      </c>
      <c r="R12" s="415" t="s">
        <v>34</v>
      </c>
      <c r="S12" s="415" t="s">
        <v>34</v>
      </c>
      <c r="T12" s="17"/>
    </row>
    <row r="13" spans="1:20">
      <c r="A13" s="1">
        <f t="shared" si="0"/>
        <v>1991</v>
      </c>
      <c r="B13" s="415">
        <v>1.006</v>
      </c>
      <c r="C13" s="415">
        <v>1.006</v>
      </c>
      <c r="D13" s="415">
        <v>1.006</v>
      </c>
      <c r="E13" s="415">
        <v>1.0049999999999999</v>
      </c>
      <c r="F13" s="415">
        <v>1.006</v>
      </c>
      <c r="G13" s="415">
        <v>1.006</v>
      </c>
      <c r="H13" s="415">
        <v>1.0049999999999999</v>
      </c>
      <c r="I13" s="415">
        <v>1.004</v>
      </c>
      <c r="J13" s="415">
        <v>1.0029999999999999</v>
      </c>
      <c r="K13" s="415">
        <v>1.002</v>
      </c>
      <c r="L13" s="415">
        <v>1.004</v>
      </c>
      <c r="M13" s="415">
        <v>1.004</v>
      </c>
      <c r="N13" s="415" t="s">
        <v>34</v>
      </c>
      <c r="O13" s="415" t="s">
        <v>34</v>
      </c>
      <c r="P13" s="415" t="s">
        <v>34</v>
      </c>
      <c r="Q13" s="415" t="s">
        <v>34</v>
      </c>
      <c r="R13" s="415" t="s">
        <v>34</v>
      </c>
      <c r="S13" s="415" t="s">
        <v>34</v>
      </c>
      <c r="T13" s="17"/>
    </row>
    <row r="14" spans="1:20">
      <c r="A14" s="1">
        <f t="shared" si="0"/>
        <v>1992</v>
      </c>
      <c r="B14" s="415">
        <v>1.0069999999999999</v>
      </c>
      <c r="C14" s="415">
        <v>1.0069999999999999</v>
      </c>
      <c r="D14" s="415">
        <v>1</v>
      </c>
      <c r="E14" s="415">
        <v>1.0069999999999999</v>
      </c>
      <c r="F14" s="415">
        <v>1.0069999999999999</v>
      </c>
      <c r="G14" s="415">
        <v>1.0049999999999999</v>
      </c>
      <c r="H14" s="415">
        <v>1.0049999999999999</v>
      </c>
      <c r="I14" s="415">
        <v>1.0049999999999999</v>
      </c>
      <c r="J14" s="415">
        <v>1.0049999999999999</v>
      </c>
      <c r="K14" s="415">
        <v>1.006</v>
      </c>
      <c r="L14" s="415">
        <v>1.0029999999999999</v>
      </c>
      <c r="M14" s="415" t="s">
        <v>34</v>
      </c>
      <c r="N14" s="415" t="s">
        <v>34</v>
      </c>
      <c r="O14" s="415" t="s">
        <v>34</v>
      </c>
      <c r="P14" s="415" t="s">
        <v>34</v>
      </c>
      <c r="Q14" s="415" t="s">
        <v>34</v>
      </c>
      <c r="R14" s="415" t="s">
        <v>34</v>
      </c>
      <c r="S14" s="415" t="s">
        <v>34</v>
      </c>
      <c r="T14" s="17"/>
    </row>
    <row r="15" spans="1:20">
      <c r="A15" s="1">
        <f t="shared" si="0"/>
        <v>1993</v>
      </c>
      <c r="B15" s="415">
        <v>1.0109999999999999</v>
      </c>
      <c r="C15" s="415">
        <v>1.0109999999999999</v>
      </c>
      <c r="D15" s="415">
        <v>1.0089999999999999</v>
      </c>
      <c r="E15" s="415">
        <v>1.0129999999999999</v>
      </c>
      <c r="F15" s="415">
        <v>1.01</v>
      </c>
      <c r="G15" s="415">
        <v>1.008</v>
      </c>
      <c r="H15" s="415">
        <v>1.0049999999999999</v>
      </c>
      <c r="I15" s="415">
        <v>1.006</v>
      </c>
      <c r="J15" s="415">
        <v>1.008</v>
      </c>
      <c r="K15" s="415">
        <v>1.004</v>
      </c>
      <c r="L15" s="415" t="s">
        <v>34</v>
      </c>
      <c r="M15" s="415" t="s">
        <v>34</v>
      </c>
      <c r="N15" s="415" t="s">
        <v>34</v>
      </c>
      <c r="O15" s="415" t="s">
        <v>34</v>
      </c>
      <c r="P15" s="415" t="s">
        <v>34</v>
      </c>
      <c r="Q15" s="415" t="s">
        <v>34</v>
      </c>
      <c r="R15" s="415" t="s">
        <v>34</v>
      </c>
      <c r="S15" s="415" t="s">
        <v>34</v>
      </c>
      <c r="T15" s="17"/>
    </row>
    <row r="16" spans="1:20">
      <c r="A16" s="1">
        <f t="shared" si="0"/>
        <v>1994</v>
      </c>
      <c r="B16" s="415">
        <v>1.0089999999999999</v>
      </c>
      <c r="C16" s="415">
        <v>1.0089999999999999</v>
      </c>
      <c r="D16" s="415">
        <v>1.012</v>
      </c>
      <c r="E16" s="415">
        <v>1.01</v>
      </c>
      <c r="F16" s="415">
        <v>1.008</v>
      </c>
      <c r="G16" s="415">
        <v>1.008</v>
      </c>
      <c r="H16" s="415">
        <v>1.0069999999999999</v>
      </c>
      <c r="I16" s="415">
        <v>1.004</v>
      </c>
      <c r="J16" s="415">
        <v>1.0049999999999999</v>
      </c>
      <c r="K16" s="415" t="s">
        <v>34</v>
      </c>
      <c r="L16" s="415" t="s">
        <v>34</v>
      </c>
      <c r="M16" s="415" t="s">
        <v>34</v>
      </c>
      <c r="N16" s="415" t="s">
        <v>34</v>
      </c>
      <c r="O16" s="415" t="s">
        <v>34</v>
      </c>
      <c r="P16" s="415" t="s">
        <v>34</v>
      </c>
      <c r="Q16" s="415" t="s">
        <v>34</v>
      </c>
      <c r="R16" s="415" t="s">
        <v>34</v>
      </c>
      <c r="S16" s="415" t="s">
        <v>34</v>
      </c>
      <c r="T16" s="17"/>
    </row>
    <row r="17" spans="1:20">
      <c r="A17" s="1">
        <f t="shared" si="0"/>
        <v>1995</v>
      </c>
      <c r="B17" s="415">
        <v>1.012</v>
      </c>
      <c r="C17" s="415">
        <v>1.016</v>
      </c>
      <c r="D17" s="415">
        <v>1.0129999999999999</v>
      </c>
      <c r="E17" s="415">
        <v>1.0109999999999999</v>
      </c>
      <c r="F17" s="415">
        <v>1.0129999999999999</v>
      </c>
      <c r="G17" s="415">
        <v>1.0069999999999999</v>
      </c>
      <c r="H17" s="415">
        <v>1.0069999999999999</v>
      </c>
      <c r="I17" s="415">
        <v>1.008</v>
      </c>
      <c r="J17" s="415" t="s">
        <v>34</v>
      </c>
      <c r="K17" s="415" t="s">
        <v>34</v>
      </c>
      <c r="L17" s="415" t="s">
        <v>34</v>
      </c>
      <c r="M17" s="415" t="s">
        <v>34</v>
      </c>
      <c r="N17" s="415" t="s">
        <v>34</v>
      </c>
      <c r="O17" s="415" t="s">
        <v>34</v>
      </c>
      <c r="P17" s="415" t="s">
        <v>34</v>
      </c>
      <c r="Q17" s="415" t="s">
        <v>34</v>
      </c>
      <c r="R17" s="415" t="s">
        <v>34</v>
      </c>
      <c r="S17" s="415" t="s">
        <v>34</v>
      </c>
      <c r="T17" s="17"/>
    </row>
    <row r="18" spans="1:20">
      <c r="A18" s="1">
        <f t="shared" si="0"/>
        <v>1996</v>
      </c>
      <c r="B18" s="415">
        <v>1.014</v>
      </c>
      <c r="C18" s="415">
        <v>1.014</v>
      </c>
      <c r="D18" s="415">
        <v>1.01</v>
      </c>
      <c r="E18" s="415">
        <v>1.0069999999999999</v>
      </c>
      <c r="F18" s="415">
        <v>1.0069999999999999</v>
      </c>
      <c r="G18" s="415">
        <v>1.0089999999999999</v>
      </c>
      <c r="H18" s="415">
        <v>1.0069999999999999</v>
      </c>
      <c r="I18" s="415" t="s">
        <v>34</v>
      </c>
      <c r="J18" s="415" t="s">
        <v>34</v>
      </c>
      <c r="K18" s="415" t="s">
        <v>34</v>
      </c>
      <c r="L18" s="415" t="s">
        <v>34</v>
      </c>
      <c r="M18" s="415" t="s">
        <v>34</v>
      </c>
      <c r="N18" s="415" t="s">
        <v>34</v>
      </c>
      <c r="O18" s="415" t="s">
        <v>34</v>
      </c>
      <c r="P18" s="415" t="s">
        <v>34</v>
      </c>
      <c r="Q18" s="415" t="s">
        <v>34</v>
      </c>
      <c r="R18" s="415" t="s">
        <v>34</v>
      </c>
      <c r="S18" s="415" t="s">
        <v>34</v>
      </c>
      <c r="T18" s="17"/>
    </row>
    <row r="19" spans="1:20">
      <c r="A19" s="1">
        <f t="shared" si="0"/>
        <v>1997</v>
      </c>
      <c r="B19" s="415">
        <v>1.0129999999999999</v>
      </c>
      <c r="C19" s="415">
        <v>1.01</v>
      </c>
      <c r="D19" s="415">
        <v>1.006</v>
      </c>
      <c r="E19" s="415">
        <v>1.006</v>
      </c>
      <c r="F19" s="415">
        <v>1.0069999999999999</v>
      </c>
      <c r="G19" s="415">
        <v>1.0069999999999999</v>
      </c>
      <c r="H19" s="415" t="s">
        <v>34</v>
      </c>
      <c r="I19" s="415" t="s">
        <v>34</v>
      </c>
      <c r="J19" s="415" t="s">
        <v>34</v>
      </c>
      <c r="K19" s="415" t="s">
        <v>34</v>
      </c>
      <c r="L19" s="415" t="s">
        <v>34</v>
      </c>
      <c r="M19" s="415" t="s">
        <v>34</v>
      </c>
      <c r="N19" s="415" t="s">
        <v>34</v>
      </c>
      <c r="O19" s="415" t="s">
        <v>34</v>
      </c>
      <c r="P19" s="415" t="s">
        <v>34</v>
      </c>
      <c r="Q19" s="415" t="s">
        <v>34</v>
      </c>
      <c r="R19" s="415" t="s">
        <v>34</v>
      </c>
      <c r="S19" s="415" t="s">
        <v>34</v>
      </c>
      <c r="T19" s="17"/>
    </row>
    <row r="20" spans="1:20">
      <c r="A20" s="1">
        <f t="shared" si="0"/>
        <v>1998</v>
      </c>
      <c r="B20" s="415">
        <v>1.0129999999999999</v>
      </c>
      <c r="C20" s="415">
        <v>1.01</v>
      </c>
      <c r="D20" s="415">
        <v>1.0069999999999999</v>
      </c>
      <c r="E20" s="415">
        <v>1.008</v>
      </c>
      <c r="F20" s="415">
        <v>1.008</v>
      </c>
      <c r="G20" s="415" t="s">
        <v>34</v>
      </c>
      <c r="H20" s="415" t="s">
        <v>34</v>
      </c>
      <c r="I20" s="415" t="s">
        <v>34</v>
      </c>
      <c r="J20" s="415" t="s">
        <v>34</v>
      </c>
      <c r="K20" s="415" t="s">
        <v>34</v>
      </c>
      <c r="L20" s="415" t="s">
        <v>34</v>
      </c>
      <c r="M20" s="415" t="s">
        <v>34</v>
      </c>
      <c r="N20" s="415" t="s">
        <v>34</v>
      </c>
      <c r="O20" s="415" t="s">
        <v>34</v>
      </c>
      <c r="P20" s="415" t="s">
        <v>34</v>
      </c>
      <c r="Q20" s="415" t="s">
        <v>34</v>
      </c>
      <c r="R20" s="415" t="s">
        <v>34</v>
      </c>
      <c r="S20" s="415" t="s">
        <v>34</v>
      </c>
      <c r="T20" s="17"/>
    </row>
    <row r="21" spans="1:20">
      <c r="A21" s="1">
        <f t="shared" si="0"/>
        <v>1999</v>
      </c>
      <c r="B21" s="415">
        <v>1.012</v>
      </c>
      <c r="C21" s="415">
        <v>1.0089999999999999</v>
      </c>
      <c r="D21" s="415">
        <v>1.0089999999999999</v>
      </c>
      <c r="E21" s="415">
        <v>1.008</v>
      </c>
      <c r="F21" s="415" t="s">
        <v>34</v>
      </c>
      <c r="G21" s="415" t="s">
        <v>34</v>
      </c>
      <c r="H21" s="415" t="s">
        <v>34</v>
      </c>
      <c r="I21" s="415" t="s">
        <v>34</v>
      </c>
      <c r="J21" s="415" t="s">
        <v>34</v>
      </c>
      <c r="K21" s="415" t="s">
        <v>34</v>
      </c>
      <c r="L21" s="415" t="s">
        <v>34</v>
      </c>
      <c r="M21" s="415" t="s">
        <v>34</v>
      </c>
      <c r="N21" s="415" t="s">
        <v>34</v>
      </c>
      <c r="O21" s="415" t="s">
        <v>34</v>
      </c>
      <c r="P21" s="415" t="s">
        <v>34</v>
      </c>
      <c r="Q21" s="415" t="s">
        <v>34</v>
      </c>
      <c r="R21" s="415" t="s">
        <v>34</v>
      </c>
      <c r="S21" s="415" t="s">
        <v>34</v>
      </c>
      <c r="T21" s="17"/>
    </row>
    <row r="22" spans="1:20">
      <c r="A22" s="1">
        <f>+A23-1</f>
        <v>2000</v>
      </c>
      <c r="B22" s="415">
        <v>1.008</v>
      </c>
      <c r="C22" s="415">
        <v>1.008</v>
      </c>
      <c r="D22" s="415">
        <v>1.006</v>
      </c>
      <c r="E22" s="415" t="s">
        <v>34</v>
      </c>
      <c r="F22" s="415" t="s">
        <v>34</v>
      </c>
      <c r="G22" s="415" t="s">
        <v>34</v>
      </c>
      <c r="H22" s="415" t="s">
        <v>34</v>
      </c>
      <c r="I22" s="415" t="s">
        <v>34</v>
      </c>
      <c r="J22" s="415" t="s">
        <v>34</v>
      </c>
      <c r="K22" s="415" t="s">
        <v>34</v>
      </c>
      <c r="L22" s="415" t="s">
        <v>34</v>
      </c>
      <c r="M22" s="415" t="s">
        <v>34</v>
      </c>
      <c r="N22" s="415" t="s">
        <v>34</v>
      </c>
      <c r="O22" s="415" t="s">
        <v>34</v>
      </c>
      <c r="P22" s="415" t="s">
        <v>34</v>
      </c>
      <c r="Q22" s="415" t="s">
        <v>34</v>
      </c>
      <c r="R22" s="415" t="s">
        <v>34</v>
      </c>
      <c r="S22" s="415" t="s">
        <v>34</v>
      </c>
      <c r="T22" s="17"/>
    </row>
    <row r="23" spans="1:20">
      <c r="A23" s="1">
        <f>+A24-1</f>
        <v>2001</v>
      </c>
      <c r="B23" s="415">
        <v>1.01</v>
      </c>
      <c r="C23" s="415">
        <v>1.0089999999999999</v>
      </c>
      <c r="D23" s="415" t="s">
        <v>34</v>
      </c>
      <c r="E23" s="415" t="s">
        <v>34</v>
      </c>
      <c r="F23" s="415" t="s">
        <v>34</v>
      </c>
      <c r="G23" s="415" t="s">
        <v>34</v>
      </c>
      <c r="H23" s="415" t="s">
        <v>34</v>
      </c>
      <c r="I23" s="415" t="s">
        <v>34</v>
      </c>
      <c r="J23" s="415" t="s">
        <v>34</v>
      </c>
      <c r="K23" s="415" t="s">
        <v>34</v>
      </c>
      <c r="L23" s="415" t="s">
        <v>34</v>
      </c>
      <c r="M23" s="415" t="s">
        <v>34</v>
      </c>
      <c r="N23" s="415" t="s">
        <v>34</v>
      </c>
      <c r="O23" s="415" t="s">
        <v>34</v>
      </c>
      <c r="P23" s="415" t="s">
        <v>34</v>
      </c>
      <c r="Q23" s="415" t="s">
        <v>34</v>
      </c>
      <c r="R23" s="415" t="s">
        <v>34</v>
      </c>
      <c r="S23" s="415" t="s">
        <v>34</v>
      </c>
      <c r="T23" s="17"/>
    </row>
    <row r="24" spans="1:20">
      <c r="A24" s="1">
        <f>'Exhibit 2.3.2'!A24</f>
        <v>2002</v>
      </c>
      <c r="B24" s="415">
        <v>1.0089999999999999</v>
      </c>
      <c r="C24" s="415" t="s">
        <v>34</v>
      </c>
      <c r="D24" s="415" t="s">
        <v>34</v>
      </c>
      <c r="E24" s="415" t="s">
        <v>34</v>
      </c>
      <c r="F24" s="415" t="s">
        <v>34</v>
      </c>
      <c r="G24" s="415" t="s">
        <v>34</v>
      </c>
      <c r="H24" s="415" t="s">
        <v>34</v>
      </c>
      <c r="I24" s="415" t="s">
        <v>34</v>
      </c>
      <c r="J24" s="415" t="s">
        <v>34</v>
      </c>
      <c r="K24" s="415" t="s">
        <v>34</v>
      </c>
      <c r="L24" s="415" t="s">
        <v>34</v>
      </c>
      <c r="M24" s="415" t="s">
        <v>34</v>
      </c>
      <c r="N24" s="415" t="s">
        <v>34</v>
      </c>
      <c r="O24" s="415" t="s">
        <v>34</v>
      </c>
      <c r="P24" s="415" t="s">
        <v>34</v>
      </c>
      <c r="Q24" s="415" t="s">
        <v>34</v>
      </c>
      <c r="R24" s="415" t="s">
        <v>34</v>
      </c>
      <c r="S24" s="415" t="s">
        <v>34</v>
      </c>
      <c r="T24" s="17"/>
    </row>
    <row r="25" spans="1:20">
      <c r="A25" s="1"/>
      <c r="B25" s="16"/>
      <c r="C25" s="16"/>
      <c r="D25" s="16"/>
      <c r="E25" s="16"/>
      <c r="F25" s="16"/>
      <c r="G25" s="16"/>
      <c r="H25" s="16"/>
      <c r="I25" s="16"/>
      <c r="J25" s="16"/>
      <c r="K25" s="16"/>
      <c r="L25" s="16"/>
      <c r="M25" s="16"/>
      <c r="N25" s="16"/>
      <c r="O25" s="16"/>
      <c r="P25" s="16"/>
      <c r="Q25" s="17"/>
      <c r="R25" s="17"/>
      <c r="S25" s="17"/>
      <c r="T25" s="17"/>
    </row>
    <row r="26" spans="1:20" ht="14.25">
      <c r="A26" s="1" t="s">
        <v>59</v>
      </c>
      <c r="B26" s="280" t="s">
        <v>18</v>
      </c>
      <c r="C26" s="280"/>
      <c r="D26" s="280"/>
      <c r="E26" s="280"/>
      <c r="F26" s="280"/>
      <c r="G26" s="280"/>
      <c r="H26" s="280"/>
      <c r="I26" s="280"/>
      <c r="J26" s="280"/>
      <c r="K26" s="280"/>
      <c r="L26" s="280"/>
      <c r="M26" s="280"/>
      <c r="N26" s="280"/>
      <c r="O26" s="280"/>
      <c r="P26" s="280"/>
      <c r="Q26" s="280"/>
      <c r="R26" s="280"/>
      <c r="S26" s="280"/>
      <c r="T26" s="281"/>
    </row>
    <row r="27" spans="1:20">
      <c r="A27" s="19" t="s">
        <v>19</v>
      </c>
      <c r="B27" s="19" t="str">
        <f>+B4</f>
        <v>219/207</v>
      </c>
      <c r="C27" s="19" t="str">
        <f t="shared" ref="C27:T27" si="1">+C4</f>
        <v>231/219</v>
      </c>
      <c r="D27" s="19" t="str">
        <f t="shared" si="1"/>
        <v>243/231</v>
      </c>
      <c r="E27" s="19" t="str">
        <f t="shared" si="1"/>
        <v>255/243</v>
      </c>
      <c r="F27" s="19" t="str">
        <f t="shared" si="1"/>
        <v>267/255</v>
      </c>
      <c r="G27" s="19" t="str">
        <f t="shared" si="1"/>
        <v>279/267</v>
      </c>
      <c r="H27" s="19" t="str">
        <f t="shared" si="1"/>
        <v>291/279</v>
      </c>
      <c r="I27" s="19" t="str">
        <f t="shared" si="1"/>
        <v>303/291</v>
      </c>
      <c r="J27" s="19" t="str">
        <f t="shared" si="1"/>
        <v>315/303</v>
      </c>
      <c r="K27" s="19" t="str">
        <f t="shared" si="1"/>
        <v>327/315</v>
      </c>
      <c r="L27" s="19" t="str">
        <f t="shared" si="1"/>
        <v>339/327</v>
      </c>
      <c r="M27" s="19" t="str">
        <f t="shared" si="1"/>
        <v>351/339</v>
      </c>
      <c r="N27" s="19" t="str">
        <f t="shared" si="1"/>
        <v>363/351</v>
      </c>
      <c r="O27" s="19" t="str">
        <f t="shared" si="1"/>
        <v>375/363</v>
      </c>
      <c r="P27" s="19" t="str">
        <f t="shared" si="1"/>
        <v>387/375</v>
      </c>
      <c r="Q27" s="19" t="str">
        <f t="shared" si="1"/>
        <v>399/387</v>
      </c>
      <c r="R27" s="19" t="str">
        <f t="shared" si="1"/>
        <v>411/399</v>
      </c>
      <c r="S27" s="19" t="str">
        <f t="shared" ref="S27" si="2">+S4</f>
        <v>423/411</v>
      </c>
      <c r="T27" s="19" t="str">
        <f t="shared" si="1"/>
        <v>ULT/423Pd (e)</v>
      </c>
    </row>
    <row r="28" spans="1:20">
      <c r="A28" s="1">
        <f t="shared" ref="A28:A47" si="3">+A5</f>
        <v>1983</v>
      </c>
      <c r="B28" s="415"/>
      <c r="C28" s="415"/>
      <c r="D28" s="415"/>
      <c r="E28" s="415"/>
      <c r="F28" s="415"/>
      <c r="G28" s="415"/>
      <c r="H28" s="415"/>
      <c r="I28" s="415"/>
      <c r="J28" s="415"/>
      <c r="K28" s="415"/>
      <c r="L28" s="415"/>
      <c r="M28" s="415"/>
      <c r="N28" s="415"/>
      <c r="O28" s="415"/>
      <c r="P28" s="415"/>
      <c r="Q28" s="415"/>
      <c r="R28" s="415"/>
      <c r="S28" s="415">
        <v>1.0029999999999999</v>
      </c>
      <c r="T28" s="16"/>
    </row>
    <row r="29" spans="1:20" s="330" customFormat="1">
      <c r="A29" s="1">
        <f t="shared" si="3"/>
        <v>1984</v>
      </c>
      <c r="B29" s="415"/>
      <c r="C29" s="415"/>
      <c r="D29" s="415"/>
      <c r="E29" s="415"/>
      <c r="F29" s="415"/>
      <c r="G29" s="415"/>
      <c r="H29" s="415"/>
      <c r="I29" s="415"/>
      <c r="J29" s="415"/>
      <c r="K29" s="415"/>
      <c r="L29" s="415"/>
      <c r="M29" s="415"/>
      <c r="N29" s="415"/>
      <c r="O29" s="415"/>
      <c r="P29" s="415"/>
      <c r="Q29" s="415"/>
      <c r="R29" s="415">
        <v>1.0009999999999999</v>
      </c>
      <c r="S29" s="415">
        <v>1.002</v>
      </c>
      <c r="T29" s="16"/>
    </row>
    <row r="30" spans="1:20">
      <c r="A30" s="1">
        <f t="shared" si="3"/>
        <v>1985</v>
      </c>
      <c r="B30" s="415"/>
      <c r="C30" s="415"/>
      <c r="D30" s="415"/>
      <c r="E30" s="415"/>
      <c r="F30" s="415"/>
      <c r="G30" s="415"/>
      <c r="H30" s="415"/>
      <c r="I30" s="415"/>
      <c r="J30" s="415"/>
      <c r="K30" s="415"/>
      <c r="L30" s="415"/>
      <c r="M30" s="415"/>
      <c r="N30" s="415"/>
      <c r="O30" s="415"/>
      <c r="P30" s="415"/>
      <c r="Q30" s="415">
        <v>1.002</v>
      </c>
      <c r="R30" s="415">
        <v>1.002</v>
      </c>
      <c r="S30" s="415">
        <v>1.002</v>
      </c>
      <c r="T30" s="16"/>
    </row>
    <row r="31" spans="1:20">
      <c r="A31" s="1">
        <f t="shared" si="3"/>
        <v>1986</v>
      </c>
      <c r="B31" s="415"/>
      <c r="C31" s="415"/>
      <c r="D31" s="415"/>
      <c r="E31" s="415"/>
      <c r="F31" s="415"/>
      <c r="G31" s="415"/>
      <c r="H31" s="415"/>
      <c r="I31" s="415"/>
      <c r="J31" s="415"/>
      <c r="K31" s="415"/>
      <c r="L31" s="415"/>
      <c r="M31" s="415"/>
      <c r="N31" s="415"/>
      <c r="O31" s="415"/>
      <c r="P31" s="415">
        <v>1.0049999999999999</v>
      </c>
      <c r="Q31" s="415">
        <v>1.004</v>
      </c>
      <c r="R31" s="415">
        <v>1.0029999999999999</v>
      </c>
      <c r="S31" s="415" t="s">
        <v>34</v>
      </c>
      <c r="T31" s="16"/>
    </row>
    <row r="32" spans="1:20">
      <c r="A32" s="1">
        <f t="shared" si="3"/>
        <v>1987</v>
      </c>
      <c r="B32" s="415"/>
      <c r="C32" s="415"/>
      <c r="D32" s="415"/>
      <c r="E32" s="415"/>
      <c r="F32" s="415"/>
      <c r="G32" s="415"/>
      <c r="H32" s="415"/>
      <c r="I32" s="415"/>
      <c r="J32" s="415"/>
      <c r="K32" s="415"/>
      <c r="L32" s="415"/>
      <c r="M32" s="415"/>
      <c r="N32" s="415"/>
      <c r="O32" s="415">
        <v>1.0029999999999999</v>
      </c>
      <c r="P32" s="415">
        <v>1.004</v>
      </c>
      <c r="Q32" s="415">
        <v>1.0029999999999999</v>
      </c>
      <c r="R32" s="415"/>
      <c r="S32" s="415"/>
      <c r="T32" s="16"/>
    </row>
    <row r="33" spans="1:20">
      <c r="A33" s="1">
        <f t="shared" si="3"/>
        <v>1988</v>
      </c>
      <c r="B33" s="415"/>
      <c r="C33" s="415"/>
      <c r="D33" s="415"/>
      <c r="E33" s="415"/>
      <c r="F33" s="415"/>
      <c r="G33" s="415"/>
      <c r="H33" s="415"/>
      <c r="I33" s="415"/>
      <c r="J33" s="415"/>
      <c r="K33" s="415"/>
      <c r="L33" s="415"/>
      <c r="M33" s="415"/>
      <c r="N33" s="415">
        <v>1.0029999999999999</v>
      </c>
      <c r="O33" s="415">
        <v>1.004</v>
      </c>
      <c r="P33" s="415">
        <v>1.002</v>
      </c>
      <c r="Q33" s="415"/>
      <c r="R33" s="415"/>
      <c r="S33" s="415"/>
      <c r="T33" s="16"/>
    </row>
    <row r="34" spans="1:20">
      <c r="A34" s="1">
        <f t="shared" si="3"/>
        <v>1989</v>
      </c>
      <c r="B34" s="415"/>
      <c r="C34" s="415"/>
      <c r="D34" s="415"/>
      <c r="E34" s="415"/>
      <c r="F34" s="415"/>
      <c r="G34" s="415"/>
      <c r="H34" s="415"/>
      <c r="I34" s="415"/>
      <c r="J34" s="415"/>
      <c r="K34" s="415"/>
      <c r="L34" s="415"/>
      <c r="M34" s="415">
        <v>1.0029999999999999</v>
      </c>
      <c r="N34" s="415">
        <v>1.004</v>
      </c>
      <c r="O34" s="415">
        <v>1.0029999999999999</v>
      </c>
      <c r="P34" s="415"/>
      <c r="Q34" s="415"/>
      <c r="R34" s="415"/>
      <c r="S34" s="415"/>
      <c r="T34" s="16"/>
    </row>
    <row r="35" spans="1:20">
      <c r="A35" s="1">
        <f t="shared" si="3"/>
        <v>1990</v>
      </c>
      <c r="B35" s="415"/>
      <c r="C35" s="415"/>
      <c r="D35" s="415"/>
      <c r="E35" s="415"/>
      <c r="F35" s="415"/>
      <c r="G35" s="415"/>
      <c r="H35" s="415"/>
      <c r="I35" s="415"/>
      <c r="J35" s="415"/>
      <c r="K35" s="415"/>
      <c r="L35" s="415">
        <v>1.0029999999999999</v>
      </c>
      <c r="M35" s="415">
        <v>1.0029999999999999</v>
      </c>
      <c r="N35" s="415">
        <v>1.0029999999999999</v>
      </c>
      <c r="O35" s="415"/>
      <c r="P35" s="415"/>
      <c r="Q35" s="415"/>
      <c r="R35" s="415"/>
      <c r="S35" s="415"/>
      <c r="T35" s="17"/>
    </row>
    <row r="36" spans="1:20">
      <c r="A36" s="1">
        <f t="shared" si="3"/>
        <v>1991</v>
      </c>
      <c r="B36" s="415"/>
      <c r="C36" s="415"/>
      <c r="D36" s="415"/>
      <c r="E36" s="415"/>
      <c r="F36" s="415"/>
      <c r="G36" s="415"/>
      <c r="H36" s="415"/>
      <c r="I36" s="415"/>
      <c r="J36" s="415"/>
      <c r="K36" s="415">
        <v>1.0029999999999999</v>
      </c>
      <c r="L36" s="415">
        <v>1.004</v>
      </c>
      <c r="M36" s="415">
        <v>1.004</v>
      </c>
      <c r="N36" s="415"/>
      <c r="O36" s="415"/>
      <c r="P36" s="415"/>
      <c r="Q36" s="415"/>
      <c r="R36" s="415"/>
      <c r="S36" s="415"/>
      <c r="T36" s="17"/>
    </row>
    <row r="37" spans="1:20">
      <c r="A37" s="1">
        <f t="shared" si="3"/>
        <v>1992</v>
      </c>
      <c r="B37" s="415"/>
      <c r="C37" s="415"/>
      <c r="D37" s="415"/>
      <c r="E37" s="415"/>
      <c r="F37" s="415"/>
      <c r="G37" s="415"/>
      <c r="H37" s="415"/>
      <c r="I37" s="415"/>
      <c r="J37" s="415">
        <v>1.0049999999999999</v>
      </c>
      <c r="K37" s="415">
        <v>1.0069999999999999</v>
      </c>
      <c r="L37" s="415">
        <v>1.0029999999999999</v>
      </c>
      <c r="M37" s="415"/>
      <c r="N37" s="415"/>
      <c r="O37" s="415"/>
      <c r="P37" s="415"/>
      <c r="Q37" s="415"/>
      <c r="R37" s="415"/>
      <c r="S37" s="415"/>
      <c r="T37" s="23"/>
    </row>
    <row r="38" spans="1:20">
      <c r="A38" s="1">
        <f t="shared" si="3"/>
        <v>1993</v>
      </c>
      <c r="B38" s="415"/>
      <c r="C38" s="415"/>
      <c r="D38" s="415"/>
      <c r="E38" s="415"/>
      <c r="F38" s="415"/>
      <c r="G38" s="415"/>
      <c r="H38" s="415"/>
      <c r="I38" s="415">
        <v>1.0069999999999999</v>
      </c>
      <c r="J38" s="415">
        <v>1.0089999999999999</v>
      </c>
      <c r="K38" s="415">
        <v>1.004</v>
      </c>
      <c r="L38" s="415"/>
      <c r="M38" s="415"/>
      <c r="N38" s="415"/>
      <c r="O38" s="415"/>
      <c r="P38" s="415"/>
      <c r="Q38" s="415"/>
      <c r="R38" s="415"/>
      <c r="S38" s="415"/>
      <c r="T38" s="17"/>
    </row>
    <row r="39" spans="1:20">
      <c r="A39" s="1">
        <f t="shared" si="3"/>
        <v>1994</v>
      </c>
      <c r="B39" s="415"/>
      <c r="C39" s="415"/>
      <c r="D39" s="415"/>
      <c r="E39" s="415"/>
      <c r="F39" s="415"/>
      <c r="G39" s="415"/>
      <c r="H39" s="415">
        <v>1.0069999999999999</v>
      </c>
      <c r="I39" s="415">
        <v>1.004</v>
      </c>
      <c r="J39" s="415">
        <v>1.0049999999999999</v>
      </c>
      <c r="K39" s="415"/>
      <c r="L39" s="415"/>
      <c r="M39" s="415"/>
      <c r="N39" s="415"/>
      <c r="O39" s="415"/>
      <c r="P39" s="415"/>
      <c r="Q39" s="415"/>
      <c r="R39" s="415"/>
      <c r="S39" s="415"/>
      <c r="T39" s="17"/>
    </row>
    <row r="40" spans="1:20">
      <c r="A40" s="1">
        <f t="shared" si="3"/>
        <v>1995</v>
      </c>
      <c r="B40" s="415"/>
      <c r="C40" s="415"/>
      <c r="D40" s="415"/>
      <c r="E40" s="415"/>
      <c r="F40" s="415"/>
      <c r="G40" s="415">
        <v>1.008</v>
      </c>
      <c r="H40" s="415">
        <v>1.008</v>
      </c>
      <c r="I40" s="415">
        <v>1.0089999999999999</v>
      </c>
      <c r="J40" s="415"/>
      <c r="K40" s="415"/>
      <c r="L40" s="415"/>
      <c r="M40" s="415"/>
      <c r="N40" s="415"/>
      <c r="O40" s="415"/>
      <c r="P40" s="415"/>
      <c r="Q40" s="415"/>
      <c r="R40" s="415"/>
      <c r="S40" s="415"/>
      <c r="T40" s="17"/>
    </row>
    <row r="41" spans="1:20">
      <c r="A41" s="1">
        <f t="shared" si="3"/>
        <v>1996</v>
      </c>
      <c r="B41" s="415"/>
      <c r="C41" s="415"/>
      <c r="D41" s="415"/>
      <c r="E41" s="415"/>
      <c r="F41" s="415">
        <v>1.008</v>
      </c>
      <c r="G41" s="415">
        <v>1.0109999999999999</v>
      </c>
      <c r="H41" s="415">
        <v>1.008</v>
      </c>
      <c r="I41" s="415"/>
      <c r="J41" s="415"/>
      <c r="K41" s="415"/>
      <c r="L41" s="415"/>
      <c r="M41" s="415"/>
      <c r="N41" s="415"/>
      <c r="O41" s="415"/>
      <c r="P41" s="415"/>
      <c r="Q41" s="415"/>
      <c r="R41" s="415"/>
      <c r="S41" s="415"/>
      <c r="T41" s="17"/>
    </row>
    <row r="42" spans="1:20">
      <c r="A42" s="1">
        <f t="shared" si="3"/>
        <v>1997</v>
      </c>
      <c r="B42" s="415"/>
      <c r="C42" s="415"/>
      <c r="D42" s="415"/>
      <c r="E42" s="415">
        <v>1.0069999999999999</v>
      </c>
      <c r="F42" s="415">
        <v>1.008</v>
      </c>
      <c r="G42" s="415">
        <v>1.008</v>
      </c>
      <c r="H42" s="415"/>
      <c r="I42" s="415"/>
      <c r="J42" s="415"/>
      <c r="K42" s="415"/>
      <c r="L42" s="415"/>
      <c r="M42" s="415"/>
      <c r="N42" s="415"/>
      <c r="O42" s="415"/>
      <c r="P42" s="415"/>
      <c r="Q42" s="415"/>
      <c r="R42" s="415"/>
      <c r="S42" s="415"/>
      <c r="T42" s="17"/>
    </row>
    <row r="43" spans="1:20">
      <c r="A43" s="1">
        <f t="shared" si="3"/>
        <v>1998</v>
      </c>
      <c r="B43" s="415"/>
      <c r="C43" s="415"/>
      <c r="D43" s="415">
        <v>1.008</v>
      </c>
      <c r="E43" s="415">
        <v>1.01</v>
      </c>
      <c r="F43" s="415">
        <v>1.0089999999999999</v>
      </c>
      <c r="G43" s="415"/>
      <c r="H43" s="415"/>
      <c r="I43" s="415"/>
      <c r="J43" s="415"/>
      <c r="K43" s="415"/>
      <c r="L43" s="415"/>
      <c r="M43" s="415"/>
      <c r="N43" s="415"/>
      <c r="O43" s="415"/>
      <c r="P43" s="415"/>
      <c r="Q43" s="415"/>
      <c r="R43" s="415"/>
      <c r="S43" s="415"/>
      <c r="T43" s="17"/>
    </row>
    <row r="44" spans="1:20">
      <c r="A44" s="1">
        <f t="shared" si="3"/>
        <v>1999</v>
      </c>
      <c r="B44" s="415"/>
      <c r="C44" s="415">
        <v>1.0089999999999999</v>
      </c>
      <c r="D44" s="415">
        <v>1.01</v>
      </c>
      <c r="E44" s="415">
        <v>1.0089999999999999</v>
      </c>
      <c r="F44" s="415"/>
      <c r="G44" s="415"/>
      <c r="H44" s="415"/>
      <c r="I44" s="415"/>
      <c r="J44" s="415"/>
      <c r="K44" s="415"/>
      <c r="L44" s="415"/>
      <c r="M44" s="415"/>
      <c r="N44" s="415"/>
      <c r="O44" s="415"/>
      <c r="P44" s="415"/>
      <c r="Q44" s="415"/>
      <c r="R44" s="415"/>
      <c r="S44" s="415"/>
      <c r="T44" s="17"/>
    </row>
    <row r="45" spans="1:20">
      <c r="A45" s="1">
        <f t="shared" si="3"/>
        <v>2000</v>
      </c>
      <c r="B45" s="415">
        <v>1.008</v>
      </c>
      <c r="C45" s="415">
        <v>1.008</v>
      </c>
      <c r="D45" s="415">
        <v>1.0069999999999999</v>
      </c>
      <c r="E45" s="415"/>
      <c r="F45" s="415"/>
      <c r="G45" s="415"/>
      <c r="H45" s="415"/>
      <c r="I45" s="415"/>
      <c r="J45" s="415"/>
      <c r="K45" s="415"/>
      <c r="L45" s="415"/>
      <c r="M45" s="415"/>
      <c r="N45" s="415"/>
      <c r="O45" s="415"/>
      <c r="P45" s="415"/>
      <c r="Q45" s="415"/>
      <c r="R45" s="415"/>
      <c r="S45" s="415"/>
      <c r="T45" s="17"/>
    </row>
    <row r="46" spans="1:20">
      <c r="A46" s="1">
        <f t="shared" si="3"/>
        <v>2001</v>
      </c>
      <c r="B46" s="415">
        <v>1.0109999999999999</v>
      </c>
      <c r="C46" s="415">
        <v>1.0109999999999999</v>
      </c>
      <c r="D46" s="415"/>
      <c r="E46" s="415"/>
      <c r="F46" s="415"/>
      <c r="G46" s="415"/>
      <c r="H46" s="415"/>
      <c r="I46" s="415"/>
      <c r="J46" s="415"/>
      <c r="K46" s="415"/>
      <c r="L46" s="415"/>
      <c r="M46" s="415"/>
      <c r="N46" s="415"/>
      <c r="O46" s="415"/>
      <c r="P46" s="415"/>
      <c r="Q46" s="415"/>
      <c r="R46" s="415"/>
      <c r="S46" s="415"/>
      <c r="T46" s="17"/>
    </row>
    <row r="47" spans="1:20">
      <c r="A47" s="1">
        <f t="shared" si="3"/>
        <v>2002</v>
      </c>
      <c r="B47" s="415">
        <v>1.01</v>
      </c>
      <c r="C47" s="415"/>
      <c r="D47" s="415"/>
      <c r="E47" s="415"/>
      <c r="F47" s="415"/>
      <c r="G47" s="415"/>
      <c r="H47" s="415"/>
      <c r="I47" s="415"/>
      <c r="J47" s="415"/>
      <c r="K47" s="415"/>
      <c r="L47" s="415"/>
      <c r="M47" s="415"/>
      <c r="N47" s="415"/>
      <c r="O47" s="415"/>
      <c r="P47" s="415"/>
      <c r="Q47" s="415"/>
      <c r="R47" s="415"/>
      <c r="S47" s="415"/>
      <c r="T47" s="17"/>
    </row>
    <row r="48" spans="1:20">
      <c r="A48" s="22"/>
      <c r="B48" s="16"/>
      <c r="C48" s="16"/>
      <c r="D48" s="16"/>
      <c r="E48" s="16"/>
      <c r="F48" s="16"/>
      <c r="G48" s="16"/>
      <c r="H48" s="16"/>
      <c r="I48" s="16"/>
      <c r="J48" s="16"/>
      <c r="K48" s="16"/>
      <c r="L48" s="16"/>
      <c r="M48" s="16"/>
      <c r="N48" s="16"/>
      <c r="O48" s="16"/>
      <c r="P48" s="16"/>
      <c r="Q48" s="16"/>
      <c r="R48" s="16"/>
      <c r="S48" s="16"/>
      <c r="T48" s="16"/>
    </row>
    <row r="49" spans="1:20">
      <c r="A49" s="1" t="s">
        <v>36</v>
      </c>
      <c r="B49" s="16">
        <f ca="1">AVERAGE(OFFSET(B$46:B$48,-COUNTA($B$4:B$4),0))</f>
        <v>1.0096666666666667</v>
      </c>
      <c r="C49" s="16">
        <f ca="1">AVERAGE(OFFSET(C$46:C$48,-COUNTA($B$4:C$4),0))</f>
        <v>1.0093333333333332</v>
      </c>
      <c r="D49" s="16">
        <f ca="1">AVERAGE(OFFSET(D$46:D$48,-COUNTA($B$4:D$4),0))</f>
        <v>1.0083333333333331</v>
      </c>
      <c r="E49" s="16">
        <f ca="1">AVERAGE(OFFSET(E$46:E$48,-COUNTA($B$4:E$4),0))</f>
        <v>1.0086666666666666</v>
      </c>
      <c r="F49" s="16">
        <f ca="1">AVERAGE(OFFSET(F$46:F$48,-COUNTA($B$4:F$4),0))</f>
        <v>1.0083333333333333</v>
      </c>
      <c r="G49" s="16">
        <f ca="1">AVERAGE(OFFSET(G$46:G$48,-COUNTA($B$4:G$4),0))</f>
        <v>1.0090000000000001</v>
      </c>
      <c r="H49" s="16">
        <f ca="1">AVERAGE(OFFSET(H$46:H$48,-COUNTA($B$4:H$4),0))</f>
        <v>1.0076666666666665</v>
      </c>
      <c r="I49" s="16">
        <f ca="1">AVERAGE(OFFSET(I$46:I$48,-COUNTA($B$4:I$4),0))</f>
        <v>1.0066666666666666</v>
      </c>
      <c r="J49" s="16">
        <f ca="1">AVERAGE(OFFSET(J$46:J$48,-COUNTA($B$4:J$4),0))</f>
        <v>1.0063333333333333</v>
      </c>
      <c r="K49" s="16">
        <f ca="1">AVERAGE(OFFSET(K$46:K$48,-COUNTA($B$4:K$4),0))</f>
        <v>1.0046666666666666</v>
      </c>
      <c r="L49" s="16">
        <f ca="1">AVERAGE(OFFSET(L$46:L$48,-COUNTA($B$4:L$4),0))</f>
        <v>1.0033333333333332</v>
      </c>
      <c r="M49" s="16">
        <f ca="1">AVERAGE(OFFSET(M$46:M$48,-COUNTA($B$4:M$4),0))</f>
        <v>1.0033333333333332</v>
      </c>
      <c r="N49" s="16">
        <f ca="1">AVERAGE(OFFSET(N$46:N$48,-COUNTA($B$4:N$4),0))</f>
        <v>1.0033333333333332</v>
      </c>
      <c r="O49" s="16">
        <f ca="1">AVERAGE(OFFSET(O$46:O$48,-COUNTA($B$4:O$4),0))</f>
        <v>1.0033333333333332</v>
      </c>
      <c r="P49" s="16">
        <f ca="1">AVERAGE(OFFSET(P$46:P$48,-COUNTA($B$4:P$4),0))</f>
        <v>1.0036666666666667</v>
      </c>
      <c r="Q49" s="16">
        <f ca="1">AVERAGE(OFFSET(Q$46:Q$48,-COUNTA($B$4:Q$4),0))</f>
        <v>1.0030000000000001</v>
      </c>
      <c r="R49" s="16">
        <f ca="1">AVERAGE(OFFSET(R$46:R$48,-COUNTA($B$4:R$4),0))</f>
        <v>1.002</v>
      </c>
      <c r="S49" s="16">
        <f ca="1">AVERAGE(OFFSET(S$46:S$48,-COUNTA($B$4:S$4),0))</f>
        <v>1.0023333333333333</v>
      </c>
      <c r="T49" s="16"/>
    </row>
    <row r="50" spans="1:20">
      <c r="A50" s="1" t="s">
        <v>21</v>
      </c>
      <c r="B50" s="16">
        <f t="shared" ref="B50:S50" ca="1" si="4">B49*C50</f>
        <v>1.1834466799965417</v>
      </c>
      <c r="C50" s="16">
        <f t="shared" ca="1" si="4"/>
        <v>1.1721162231725404</v>
      </c>
      <c r="D50" s="16">
        <f t="shared" ca="1" si="4"/>
        <v>1.1612776319410905</v>
      </c>
      <c r="E50" s="16">
        <f t="shared" ca="1" si="4"/>
        <v>1.1516802961399246</v>
      </c>
      <c r="F50" s="16">
        <f t="shared" ca="1" si="4"/>
        <v>1.1417848276337654</v>
      </c>
      <c r="G50" s="16">
        <f t="shared" ca="1" si="4"/>
        <v>1.1323485893888583</v>
      </c>
      <c r="H50" s="16">
        <f t="shared" ca="1" si="4"/>
        <v>1.1222483542010486</v>
      </c>
      <c r="I50" s="16">
        <f t="shared" ca="1" si="4"/>
        <v>1.113709911545864</v>
      </c>
      <c r="J50" s="16">
        <f t="shared" ca="1" si="4"/>
        <v>1.1063343492177458</v>
      </c>
      <c r="K50" s="16">
        <f t="shared" ca="1" si="4"/>
        <v>1.0993716620249212</v>
      </c>
      <c r="L50" s="16">
        <f t="shared" ca="1" si="4"/>
        <v>1.0942650915974665</v>
      </c>
      <c r="M50" s="16">
        <f t="shared" ca="1" si="4"/>
        <v>1.0906296593994684</v>
      </c>
      <c r="N50" s="16">
        <f t="shared" ca="1" si="4"/>
        <v>1.0870063050493042</v>
      </c>
      <c r="O50" s="16">
        <f t="shared" ca="1" si="4"/>
        <v>1.0833949884212335</v>
      </c>
      <c r="P50" s="16">
        <f t="shared" ca="1" si="4"/>
        <v>1.0797956695228241</v>
      </c>
      <c r="Q50" s="16">
        <f t="shared" ca="1" si="4"/>
        <v>1.0758508829520002</v>
      </c>
      <c r="R50" s="16">
        <f t="shared" ca="1" si="4"/>
        <v>1.072632984</v>
      </c>
      <c r="S50" s="16">
        <f t="shared" ca="1" si="4"/>
        <v>1.070492</v>
      </c>
      <c r="T50" s="21">
        <v>1.0680000000000001</v>
      </c>
    </row>
    <row r="51" spans="1:20">
      <c r="A51" s="22"/>
      <c r="B51" s="16"/>
      <c r="C51" s="16"/>
      <c r="D51" s="16"/>
      <c r="E51" s="16"/>
      <c r="F51" s="16"/>
      <c r="G51" s="16"/>
      <c r="H51" s="16"/>
      <c r="I51" s="16"/>
      <c r="J51" s="16"/>
      <c r="K51" s="16"/>
      <c r="L51" s="16"/>
      <c r="M51" s="16"/>
      <c r="N51" s="16"/>
      <c r="O51" s="16"/>
      <c r="P51" s="16"/>
      <c r="Q51" s="16"/>
      <c r="R51" s="16"/>
      <c r="S51" s="16"/>
      <c r="T51" s="16"/>
    </row>
    <row r="52" spans="1:20">
      <c r="A52" s="22"/>
      <c r="B52" s="16"/>
      <c r="C52" s="17"/>
      <c r="D52" s="17"/>
      <c r="E52" s="17"/>
      <c r="F52" s="17"/>
      <c r="G52" s="17"/>
      <c r="H52" s="17"/>
      <c r="I52" s="17"/>
      <c r="J52" s="17"/>
      <c r="K52" s="17"/>
      <c r="L52" s="17"/>
      <c r="M52" s="17"/>
      <c r="N52" s="17"/>
      <c r="O52" s="17"/>
      <c r="P52" s="16"/>
      <c r="Q52" s="16"/>
      <c r="R52" s="16"/>
      <c r="S52" s="16"/>
      <c r="T52" s="16"/>
    </row>
    <row r="53" spans="1:20" ht="12.75" customHeight="1">
      <c r="A53" s="24" t="s">
        <v>39</v>
      </c>
      <c r="B53" s="355" t="s">
        <v>559</v>
      </c>
      <c r="C53" s="355"/>
      <c r="D53" s="355"/>
      <c r="E53" s="355"/>
      <c r="F53" s="355"/>
      <c r="G53" s="355"/>
      <c r="H53" s="355"/>
      <c r="I53" s="355"/>
      <c r="J53" s="355"/>
      <c r="K53" s="355"/>
      <c r="L53" s="355"/>
      <c r="M53" s="355"/>
      <c r="N53" s="355"/>
      <c r="O53" s="355"/>
      <c r="P53" s="355"/>
      <c r="Q53" s="355"/>
      <c r="R53" s="262"/>
      <c r="S53" s="314"/>
      <c r="T53" s="176"/>
    </row>
    <row r="54" spans="1:20" ht="12.75" customHeight="1">
      <c r="A54" s="24"/>
      <c r="B54" s="355" t="s">
        <v>560</v>
      </c>
      <c r="C54" s="358"/>
      <c r="D54" s="349"/>
      <c r="E54" s="349"/>
      <c r="F54" s="349"/>
      <c r="G54" s="349"/>
      <c r="H54" s="349"/>
      <c r="I54" s="349"/>
      <c r="J54" s="349"/>
      <c r="K54" s="349"/>
      <c r="L54" s="349"/>
      <c r="M54" s="349"/>
      <c r="N54" s="349"/>
      <c r="O54" s="349"/>
      <c r="P54" s="349"/>
      <c r="Q54" s="349"/>
      <c r="R54" s="264"/>
      <c r="S54" s="318"/>
      <c r="T54" s="177"/>
    </row>
  </sheetData>
  <pageMargins left="0.7" right="0.7" top="0.75" bottom="0.75" header="0.3" footer="0.3"/>
  <pageSetup scale="74" orientation="landscape" blackAndWhite="1" horizontalDpi="1200" verticalDpi="1200"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31</vt:i4>
      </vt:variant>
      <vt:variant>
        <vt:lpstr>Named Ranges</vt:lpstr>
      </vt:variant>
      <vt:variant>
        <vt:i4>22</vt:i4>
      </vt:variant>
    </vt:vector>
  </HeadingPairs>
  <TitlesOfParts>
    <vt:vector size="53" baseType="lpstr">
      <vt:lpstr>Exhibit 1</vt:lpstr>
      <vt:lpstr>Exhibit 2.1.1</vt:lpstr>
      <vt:lpstr>Exhibit 2.1.2</vt:lpstr>
      <vt:lpstr>Exhibit 2.2.1</vt:lpstr>
      <vt:lpstr>Exhibit 2.2.2</vt:lpstr>
      <vt:lpstr>Exhibit 2.3.1</vt:lpstr>
      <vt:lpstr>Exhibit 2.3.2</vt:lpstr>
      <vt:lpstr>Exhibit 2.4.1</vt:lpstr>
      <vt:lpstr>Exhibit 2.4.2</vt:lpstr>
      <vt:lpstr>Exhibit 2.5.1</vt:lpstr>
      <vt:lpstr>Exhibit 2.5.2</vt:lpstr>
      <vt:lpstr>Exhibits 2.5.3 - 2.5.8</vt:lpstr>
      <vt:lpstr>Exhibits 2.5.9 - 2.5.12</vt:lpstr>
      <vt:lpstr>Exhibit 2.6.1</vt:lpstr>
      <vt:lpstr>Exhibit 2.6.2</vt:lpstr>
      <vt:lpstr>Exhibits 2.6.3 - 2.6.8</vt:lpstr>
      <vt:lpstr>Exhibit 3.1</vt:lpstr>
      <vt:lpstr>Exhibit 3.2</vt:lpstr>
      <vt:lpstr>Exhibit 4.1</vt:lpstr>
      <vt:lpstr>Exhibit 4.2</vt:lpstr>
      <vt:lpstr>Exhibit 4.3</vt:lpstr>
      <vt:lpstr>Exhibit 4.4</vt:lpstr>
      <vt:lpstr>Exhibit 5.1</vt:lpstr>
      <vt:lpstr>Exhibit 5.2</vt:lpstr>
      <vt:lpstr>Exhibit 6.1</vt:lpstr>
      <vt:lpstr>Exhibit 6.2</vt:lpstr>
      <vt:lpstr>Exhibit 6.3</vt:lpstr>
      <vt:lpstr>Exhibit 6.4</vt:lpstr>
      <vt:lpstr>Exhibit 7.1</vt:lpstr>
      <vt:lpstr>Exhibit 7.3</vt:lpstr>
      <vt:lpstr>Exhibit 8</vt:lpstr>
      <vt:lpstr>'Exhibit 1'!Print_Area</vt:lpstr>
      <vt:lpstr>'Exhibit 2.3.2'!Print_Area</vt:lpstr>
      <vt:lpstr>'Exhibit 2.4.1'!Print_Area</vt:lpstr>
      <vt:lpstr>'Exhibit 2.5.1'!Print_Area</vt:lpstr>
      <vt:lpstr>'Exhibit 2.5.2'!Print_Area</vt:lpstr>
      <vt:lpstr>'Exhibit 2.6.1'!Print_Area</vt:lpstr>
      <vt:lpstr>'Exhibit 3.1'!Print_Area</vt:lpstr>
      <vt:lpstr>'Exhibit 3.2'!Print_Area</vt:lpstr>
      <vt:lpstr>'Exhibit 4.1'!Print_Area</vt:lpstr>
      <vt:lpstr>'Exhibit 4.2'!Print_Area</vt:lpstr>
      <vt:lpstr>'Exhibit 4.3'!Print_Area</vt:lpstr>
      <vt:lpstr>'Exhibit 4.4'!Print_Area</vt:lpstr>
      <vt:lpstr>'Exhibit 5.1'!Print_Area</vt:lpstr>
      <vt:lpstr>'Exhibit 5.2'!Print_Area</vt:lpstr>
      <vt:lpstr>'Exhibit 6.1'!Print_Area</vt:lpstr>
      <vt:lpstr>'Exhibit 6.4'!Print_Area</vt:lpstr>
      <vt:lpstr>'Exhibit 7.1'!Print_Area</vt:lpstr>
      <vt:lpstr>'Exhibit 7.3'!Print_Area</vt:lpstr>
      <vt:lpstr>'Exhibit 8'!Print_Area</vt:lpstr>
      <vt:lpstr>'Exhibits 2.5.3 - 2.5.8'!Print_Area</vt:lpstr>
      <vt:lpstr>'Exhibits 2.5.9 - 2.5.12'!Print_Area</vt:lpstr>
      <vt:lpstr>'Exhibits 2.6.3 - 2.6.8'!Print_Area</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 Wong</dc:creator>
  <cp:lastModifiedBy>Tony Milano</cp:lastModifiedBy>
  <cp:lastPrinted>2020-08-20T04:50:31Z</cp:lastPrinted>
  <dcterms:created xsi:type="dcterms:W3CDTF">2016-01-21T17:50:16Z</dcterms:created>
  <dcterms:modified xsi:type="dcterms:W3CDTF">2020-09-11T17:47:56Z</dcterms:modified>
</cp:coreProperties>
</file>