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I:\AC1000R\Dec23\9-1-24 Filing\For CDI\"/>
    </mc:Choice>
  </mc:AlternateContent>
  <xr:revisionPtr revIDLastSave="0" documentId="13_ncr:1_{2095064F-B0EE-471E-8FA0-7F43EB88D857}" xr6:coauthVersionLast="47" xr6:coauthVersionMax="47" xr10:uidLastSave="{00000000-0000-0000-0000-000000000000}"/>
  <bookViews>
    <workbookView xWindow="-120" yWindow="-120" windowWidth="29040" windowHeight="15840" tabRatio="834" xr2:uid="{00000000-000D-0000-FFFF-FFFF00000000}"/>
  </bookViews>
  <sheets>
    <sheet name="Exhibit 1" sheetId="1" r:id="rId1"/>
    <sheet name="Exhibit 2.1.1" sheetId="2" r:id="rId2"/>
    <sheet name="Exhibit 2.1.2" sheetId="19" r:id="rId3"/>
    <sheet name="Exhibit 2.2.1" sheetId="10" r:id="rId4"/>
    <sheet name="Exhibit 2.2.2" sheetId="20" r:id="rId5"/>
    <sheet name="Exhibit 2.3.1" sheetId="11" r:id="rId6"/>
    <sheet name="Exhibit 2.3.2" sheetId="21" r:id="rId7"/>
    <sheet name="Exhibit 2.4.1" sheetId="12" r:id="rId8"/>
    <sheet name="Exhibit 2.4.2" sheetId="15" r:id="rId9"/>
    <sheet name="Exhibit 2.5.1" sheetId="13" r:id="rId10"/>
    <sheet name="Exhibit 2.5.2" sheetId="14" r:id="rId11"/>
    <sheet name="Exhibits 2.5.3 - 2.5.6" sheetId="42" r:id="rId12"/>
    <sheet name="Exhibit 2.6.1" sheetId="16" r:id="rId13"/>
    <sheet name="Exhibit 2.6.2" sheetId="17" r:id="rId14"/>
    <sheet name="Exhibit 3.1" sheetId="3" r:id="rId15"/>
    <sheet name="Exhibit 3.2" sheetId="43" r:id="rId16"/>
    <sheet name="Exhibit 3.3" sheetId="18" r:id="rId17"/>
    <sheet name="Exhibit 3.4" sheetId="44" r:id="rId18"/>
    <sheet name="Exhibit 4.1" sheetId="4" r:id="rId19"/>
    <sheet name="Exhibit 4.2" sheetId="22" r:id="rId20"/>
    <sheet name="Exhibit 4.3" sheetId="23" r:id="rId21"/>
    <sheet name="Exhibit 4.4" sheetId="24" r:id="rId22"/>
    <sheet name="Exhibit 5.1" sheetId="5" r:id="rId23"/>
    <sheet name="Exhibit 5.2" sheetId="25" r:id="rId24"/>
    <sheet name="Exhibit 6.1" sheetId="6" r:id="rId25"/>
    <sheet name="Exhibit 6.2" sheetId="26" r:id="rId26"/>
    <sheet name="Exhibit 6.3" sheetId="27" r:id="rId27"/>
    <sheet name="Exhibit 6.4" sheetId="28" r:id="rId28"/>
    <sheet name="Exhibit 7.1" sheetId="7" r:id="rId29"/>
    <sheet name="Exhibit 7.2" sheetId="45" r:id="rId30"/>
    <sheet name="Exhibit 7.3" sheetId="29" r:id="rId31"/>
    <sheet name="Exhibit 7.4" sheetId="36" r:id="rId32"/>
    <sheet name="Exhibit 8" sheetId="8" r:id="rId33"/>
  </sheets>
  <externalReferences>
    <externalReference r:id="rId34"/>
    <externalReference r:id="rId35"/>
    <externalReference r:id="rId36"/>
    <externalReference r:id="rId37"/>
  </externalReferences>
  <definedNames>
    <definedName name="APY">[1]Cover!$B$11</definedName>
    <definedName name="AY">[1]Cover!$H$1</definedName>
    <definedName name="EPYear">'[2]Market Share'!$E$1</definedName>
    <definedName name="EX2_3Hybrid">[3]Exh2_3_Selected!$AJ$6:$AP$37</definedName>
    <definedName name="FreqExh">[1]Cover!$B$15</definedName>
    <definedName name="IndemTail">[3]Exh2_1!$I$43</definedName>
    <definedName name="IndTrend">[3]Exh_7.1_Paid_BS_Latest_Yr!$H$71</definedName>
    <definedName name="MedCPI_Change">'[3]Exh4.2 Agenda'!$BM$2:$CP$65</definedName>
    <definedName name="MedicalSeverityTrend">'[4]Exhibit 6.3'!$L$38</definedName>
    <definedName name="MedTail">[3]Exh2_2!$I$42</definedName>
    <definedName name="MedTrend">[3]Exh_7.3_Paid_BS__Latest_Yr!$H$71</definedName>
    <definedName name="midTailAge">[1]Cover!$B$19</definedName>
    <definedName name="PPY">[1]Cover!$B$12</definedName>
    <definedName name="_xlnm.Print_Area" localSheetId="0">'Exhibit 1'!$A$1:$I$48</definedName>
    <definedName name="_xlnm.Print_Area" localSheetId="2">'Exhibit 2.1.2'!$A$1:$X$35</definedName>
    <definedName name="_xlnm.Print_Area" localSheetId="4">'Exhibit 2.2.2'!$A$1:$X$35</definedName>
    <definedName name="_xlnm.Print_Area" localSheetId="6">'Exhibit 2.3.2'!$A$1:$X$34</definedName>
    <definedName name="_xlnm.Print_Area" localSheetId="7">'Exhibit 2.4.1'!$A$1:$Q$60</definedName>
    <definedName name="_xlnm.Print_Area" localSheetId="9">'Exhibit 2.5.1'!$A$1:$V$58</definedName>
    <definedName name="_xlnm.Print_Area" localSheetId="10">'Exhibit 2.5.2'!$A$1:$S$31</definedName>
    <definedName name="_xlnm.Print_Area" localSheetId="12">'Exhibit 2.6.1'!$A$1:$V$56</definedName>
    <definedName name="_xlnm.Print_Area" localSheetId="14">'Exhibit 3.1'!$A$1:$G$48</definedName>
    <definedName name="_xlnm.Print_Area" localSheetId="15">'Exhibit 3.2'!$A$1:$H$51</definedName>
    <definedName name="_xlnm.Print_Area" localSheetId="16">'Exhibit 3.3'!$A$1:$H$53</definedName>
    <definedName name="_xlnm.Print_Area" localSheetId="17">'Exhibit 3.4'!$A$1:$I$55</definedName>
    <definedName name="_xlnm.Print_Area" localSheetId="18">'Exhibit 4.1'!$A$1:$M$54</definedName>
    <definedName name="_xlnm.Print_Area" localSheetId="19">'Exhibit 4.2'!$A$1:$M$54</definedName>
    <definedName name="_xlnm.Print_Area" localSheetId="20">'Exhibit 4.3'!$A$1:$H$51</definedName>
    <definedName name="_xlnm.Print_Area" localSheetId="21">'Exhibit 4.4'!$A$1:$K$54</definedName>
    <definedName name="_xlnm.Print_Area" localSheetId="22">'Exhibit 5.1'!$A$1:$G$55</definedName>
    <definedName name="_xlnm.Print_Area" localSheetId="23">'Exhibit 5.2'!$A$1:$S$60</definedName>
    <definedName name="_xlnm.Print_Area" localSheetId="24">'Exhibit 6.1'!$A$1:$H$90</definedName>
    <definedName name="_xlnm.Print_Area" localSheetId="25">'Exhibit 6.2'!$A$1:$M$56</definedName>
    <definedName name="_xlnm.Print_Area" localSheetId="26">'Exhibit 6.3'!$A$1:$M$53</definedName>
    <definedName name="_xlnm.Print_Area" localSheetId="27">'Exhibit 6.4'!$A$1:$Q$45</definedName>
    <definedName name="_xlnm.Print_Area" localSheetId="28">'Exhibit 7.1'!$A$1:$J$55</definedName>
    <definedName name="_xlnm.Print_Area" localSheetId="29">'Exhibit 7.2'!$A$1:$K$46</definedName>
    <definedName name="_xlnm.Print_Area" localSheetId="30">'Exhibit 7.3'!$A$1:$I$56</definedName>
    <definedName name="_xlnm.Print_Area" localSheetId="31">'Exhibit 7.4'!$A$1:$K$46</definedName>
    <definedName name="_xlnm.Print_Area" localSheetId="32">'Exhibit 8'!$A$1:$O$18</definedName>
    <definedName name="_xlnm.Print_Area" localSheetId="11">'Exhibits 2.5.3 - 2.5.6'!$A$1:$M$226</definedName>
    <definedName name="QDate">[1]Cover!$B$1</definedName>
    <definedName name="tailAge">[1]Cover!$B$18</definedName>
    <definedName name="TypeOfInjury">#REF!</definedName>
    <definedName name="Voucher_VR">#REF!</definedName>
    <definedName name="VQ">[1]Cover!$E$2</definedName>
    <definedName name="VY">[1]Cover!$E$1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5" i="45" l="1"/>
  <c r="P104" i="45"/>
  <c r="P103" i="45"/>
  <c r="P102" i="45"/>
  <c r="P101" i="45"/>
  <c r="P100" i="45"/>
  <c r="P99" i="45"/>
  <c r="P98" i="45"/>
  <c r="P97" i="45"/>
  <c r="P96" i="45"/>
  <c r="P95" i="45"/>
  <c r="P94" i="45"/>
  <c r="P93" i="45"/>
  <c r="P92" i="45"/>
  <c r="P91" i="45"/>
  <c r="P90" i="45"/>
  <c r="P89" i="45"/>
  <c r="P88" i="45"/>
  <c r="P87" i="45"/>
  <c r="P86" i="45"/>
  <c r="P85" i="45"/>
  <c r="P84" i="45"/>
  <c r="P83" i="45"/>
  <c r="P82" i="45"/>
  <c r="P81" i="45"/>
  <c r="P80" i="45"/>
  <c r="P79" i="45"/>
  <c r="P78" i="45"/>
  <c r="P77" i="45"/>
  <c r="P76" i="45"/>
  <c r="P75" i="45"/>
  <c r="P74" i="45"/>
  <c r="P73" i="45"/>
  <c r="P72" i="45"/>
  <c r="P71" i="45"/>
  <c r="P70" i="45"/>
  <c r="P69" i="45"/>
  <c r="P68" i="45"/>
  <c r="P67" i="45"/>
  <c r="P66" i="45"/>
  <c r="P65" i="45"/>
  <c r="P64" i="45"/>
  <c r="P63" i="45"/>
  <c r="P62" i="45"/>
  <c r="P61" i="45"/>
  <c r="P60" i="45"/>
  <c r="P59" i="45"/>
  <c r="P58" i="45"/>
  <c r="P57" i="45"/>
  <c r="P56" i="45"/>
  <c r="P55" i="45"/>
  <c r="P54" i="45"/>
  <c r="P53" i="45"/>
  <c r="P52" i="45"/>
  <c r="P51" i="45"/>
  <c r="P50" i="45"/>
  <c r="P49" i="45"/>
  <c r="P48" i="45"/>
  <c r="P47" i="45"/>
  <c r="P46" i="45"/>
  <c r="P45" i="45"/>
  <c r="P44" i="45"/>
  <c r="P43" i="45"/>
  <c r="P42" i="45"/>
  <c r="P41" i="45"/>
  <c r="P40" i="45"/>
  <c r="P39" i="45"/>
  <c r="P38" i="45"/>
  <c r="P37" i="45"/>
  <c r="P36" i="45"/>
  <c r="P35" i="45"/>
  <c r="P34" i="45"/>
  <c r="P33" i="45"/>
  <c r="P32" i="45"/>
  <c r="P31" i="45"/>
  <c r="P30" i="45"/>
  <c r="P29" i="45"/>
  <c r="P28" i="45"/>
  <c r="P27" i="45"/>
  <c r="P26" i="45"/>
  <c r="P25" i="45"/>
  <c r="P24" i="45"/>
  <c r="P23" i="45"/>
  <c r="P22" i="45"/>
  <c r="P21" i="45"/>
  <c r="P20" i="45"/>
  <c r="P19" i="45"/>
  <c r="P18" i="45"/>
  <c r="P17" i="45"/>
  <c r="P16" i="45"/>
  <c r="P15" i="45"/>
  <c r="P14" i="45"/>
  <c r="P13" i="45"/>
  <c r="P12" i="45"/>
  <c r="P11" i="45"/>
  <c r="P10" i="45"/>
  <c r="P9" i="45"/>
  <c r="P8" i="45"/>
  <c r="P7" i="45"/>
  <c r="P6" i="45"/>
  <c r="P5" i="45"/>
  <c r="P4" i="45"/>
  <c r="P3" i="45"/>
  <c r="P2" i="45"/>
  <c r="O99" i="45"/>
  <c r="N98" i="45"/>
  <c r="O3" i="45"/>
  <c r="N2" i="45"/>
  <c r="O100" i="45" l="1"/>
  <c r="N99" i="45"/>
  <c r="O4" i="45"/>
  <c r="N3" i="45"/>
  <c r="N100" i="45" l="1"/>
  <c r="O101" i="45"/>
  <c r="N4" i="45"/>
  <c r="O5" i="45"/>
  <c r="O102" i="45" l="1"/>
  <c r="N101" i="45"/>
  <c r="O6" i="45"/>
  <c r="N5" i="45"/>
  <c r="O7" i="45" l="1"/>
  <c r="N6" i="45"/>
  <c r="O103" i="45"/>
  <c r="N102" i="45"/>
  <c r="N7" i="45" l="1"/>
  <c r="O8" i="45"/>
  <c r="N103" i="45"/>
  <c r="O104" i="45"/>
  <c r="O105" i="45" l="1"/>
  <c r="N104" i="45"/>
  <c r="O9" i="45"/>
  <c r="N8" i="45"/>
  <c r="O10" i="45" l="1"/>
  <c r="N9" i="45"/>
  <c r="N105" i="45"/>
  <c r="O106" i="45"/>
  <c r="N106" i="45" l="1"/>
  <c r="O107" i="45"/>
  <c r="O11" i="45"/>
  <c r="N10" i="45"/>
  <c r="O12" i="45" l="1"/>
  <c r="N11" i="45"/>
  <c r="O108" i="45"/>
  <c r="N107" i="45"/>
  <c r="N108" i="45" l="1"/>
  <c r="O109" i="45"/>
  <c r="N12" i="45"/>
  <c r="O13" i="45"/>
  <c r="N13" i="45" l="1"/>
  <c r="O14" i="45"/>
  <c r="O110" i="45"/>
  <c r="N109" i="45"/>
  <c r="N110" i="45" l="1"/>
  <c r="O111" i="45"/>
  <c r="O15" i="45"/>
  <c r="N14" i="45"/>
  <c r="N15" i="45" l="1"/>
  <c r="O16" i="45"/>
  <c r="N111" i="45"/>
  <c r="O112" i="45"/>
  <c r="O113" i="45" l="1"/>
  <c r="N112" i="45"/>
  <c r="O17" i="45"/>
  <c r="N16" i="45"/>
  <c r="N17" i="45" l="1"/>
  <c r="O18" i="45"/>
  <c r="N113" i="45"/>
  <c r="O114" i="45"/>
  <c r="O115" i="45" l="1"/>
  <c r="N114" i="45"/>
  <c r="O19" i="45"/>
  <c r="N18" i="45"/>
  <c r="O20" i="45" l="1"/>
  <c r="N19" i="45"/>
  <c r="O116" i="45"/>
  <c r="N115" i="45"/>
  <c r="N116" i="45" l="1"/>
  <c r="O117" i="45"/>
  <c r="N20" i="45"/>
  <c r="O21" i="45"/>
  <c r="O22" i="45" l="1"/>
  <c r="N21" i="45"/>
  <c r="O118" i="45"/>
  <c r="N117" i="45"/>
  <c r="O119" i="45" l="1"/>
  <c r="N118" i="45"/>
  <c r="O23" i="45"/>
  <c r="N22" i="45"/>
  <c r="N23" i="45" l="1"/>
  <c r="O24" i="45"/>
  <c r="N119" i="45"/>
  <c r="O120" i="45"/>
  <c r="O121" i="45" l="1"/>
  <c r="N120" i="45"/>
  <c r="O25" i="45"/>
  <c r="N24" i="45"/>
  <c r="O26" i="45" l="1"/>
  <c r="N25" i="45"/>
  <c r="N121" i="45"/>
  <c r="O122" i="45"/>
  <c r="O123" i="45" l="1"/>
  <c r="N122" i="45"/>
  <c r="N26" i="45"/>
  <c r="O27" i="45"/>
  <c r="O28" i="45" l="1"/>
  <c r="N27" i="45"/>
  <c r="O124" i="45"/>
  <c r="N123" i="45"/>
  <c r="N124" i="45" l="1"/>
  <c r="O125" i="45"/>
  <c r="N28" i="45"/>
  <c r="O29" i="45"/>
  <c r="O30" i="45" l="1"/>
  <c r="N29" i="45"/>
  <c r="O126" i="45"/>
  <c r="N125" i="45"/>
  <c r="N126" i="45" l="1"/>
  <c r="O127" i="45"/>
  <c r="N30" i="45"/>
  <c r="O31" i="45"/>
  <c r="N31" i="45" l="1"/>
  <c r="O32" i="45"/>
  <c r="N127" i="45"/>
  <c r="O128" i="45"/>
  <c r="O129" i="45" l="1"/>
  <c r="N128" i="45"/>
  <c r="O33" i="45"/>
  <c r="N32" i="45"/>
  <c r="N33" i="45" l="1"/>
  <c r="O34" i="45"/>
  <c r="O130" i="45"/>
  <c r="N129" i="45"/>
  <c r="O131" i="45" l="1"/>
  <c r="N130" i="45"/>
  <c r="N34" i="45"/>
  <c r="O35" i="45"/>
  <c r="O36" i="45" l="1"/>
  <c r="N35" i="45"/>
  <c r="O132" i="45"/>
  <c r="N131" i="45"/>
  <c r="N132" i="45" l="1"/>
  <c r="O133" i="45"/>
  <c r="N36" i="45"/>
  <c r="O37" i="45"/>
  <c r="O38" i="45" l="1"/>
  <c r="N37" i="45"/>
  <c r="N133" i="45"/>
  <c r="O134" i="45"/>
  <c r="N134" i="45" l="1"/>
  <c r="O135" i="45"/>
  <c r="N38" i="45"/>
  <c r="O39" i="45"/>
  <c r="O40" i="45" l="1"/>
  <c r="N39" i="45"/>
  <c r="N135" i="45"/>
  <c r="O136" i="45"/>
  <c r="O137" i="45" l="1"/>
  <c r="N136" i="45"/>
  <c r="O41" i="45"/>
  <c r="N40" i="45"/>
  <c r="N41" i="45" l="1"/>
  <c r="O42" i="45"/>
  <c r="O138" i="45"/>
  <c r="N137" i="45"/>
  <c r="O139" i="45" l="1"/>
  <c r="N138" i="45"/>
  <c r="O43" i="45"/>
  <c r="N42" i="45"/>
  <c r="O44" i="45" l="1"/>
  <c r="N43" i="45"/>
  <c r="O140" i="45"/>
  <c r="N139" i="45"/>
  <c r="N140" i="45" l="1"/>
  <c r="O141" i="45"/>
  <c r="N44" i="45"/>
  <c r="O45" i="45"/>
  <c r="O46" i="45" l="1"/>
  <c r="N45" i="45"/>
  <c r="N141" i="45"/>
  <c r="O142" i="45"/>
  <c r="O143" i="45" l="1"/>
  <c r="N142" i="45"/>
  <c r="N46" i="45"/>
  <c r="O47" i="45"/>
  <c r="N47" i="45" l="1"/>
  <c r="O48" i="45"/>
  <c r="N143" i="45"/>
  <c r="O144" i="45"/>
  <c r="O145" i="45" l="1"/>
  <c r="N144" i="45"/>
  <c r="O49" i="45"/>
  <c r="N48" i="45"/>
  <c r="N49" i="45" l="1"/>
  <c r="O50" i="45"/>
  <c r="O146" i="45"/>
  <c r="N145" i="45"/>
  <c r="O147" i="45" l="1"/>
  <c r="N146" i="45"/>
  <c r="O51" i="45"/>
  <c r="N50" i="45"/>
  <c r="N51" i="45" l="1"/>
  <c r="O52" i="45"/>
  <c r="N147" i="45"/>
  <c r="O148" i="45"/>
  <c r="N148" i="45" l="1"/>
  <c r="O149" i="45"/>
  <c r="N52" i="45"/>
  <c r="O53" i="45"/>
  <c r="O150" i="45" l="1"/>
  <c r="N149" i="45"/>
  <c r="O54" i="45"/>
  <c r="N53" i="45"/>
  <c r="N54" i="45" l="1"/>
  <c r="O55" i="45"/>
  <c r="O151" i="45"/>
  <c r="N150" i="45"/>
  <c r="O152" i="45" l="1"/>
  <c r="N151" i="45"/>
  <c r="O56" i="45"/>
  <c r="N55" i="45"/>
  <c r="O57" i="45" l="1"/>
  <c r="N56" i="45"/>
  <c r="O153" i="45"/>
  <c r="N152" i="45"/>
  <c r="N153" i="45" l="1"/>
  <c r="O154" i="45"/>
  <c r="N57" i="45"/>
  <c r="O58" i="45"/>
  <c r="O59" i="45" l="1"/>
  <c r="N58" i="45"/>
  <c r="N154" i="45"/>
  <c r="O155" i="45"/>
  <c r="N155" i="45" l="1"/>
  <c r="O156" i="45"/>
  <c r="N156" i="45" s="1"/>
  <c r="N59" i="45"/>
  <c r="O60" i="45"/>
  <c r="N60" i="45" l="1"/>
  <c r="O61" i="45"/>
  <c r="O62" i="45" l="1"/>
  <c r="N61" i="45"/>
  <c r="N62" i="45" l="1"/>
  <c r="O63" i="45"/>
  <c r="O64" i="45" l="1"/>
  <c r="N63" i="45"/>
  <c r="O65" i="45" l="1"/>
  <c r="N64" i="45"/>
  <c r="N65" i="45" l="1"/>
  <c r="O66" i="45"/>
  <c r="O67" i="45" l="1"/>
  <c r="N66" i="45"/>
  <c r="N67" i="45" l="1"/>
  <c r="O68" i="45"/>
  <c r="N68" i="45" l="1"/>
  <c r="O69" i="45"/>
  <c r="O70" i="45" l="1"/>
  <c r="N69" i="45"/>
  <c r="N70" i="45" l="1"/>
  <c r="O71" i="45"/>
  <c r="N71" i="45" l="1"/>
  <c r="O72" i="45"/>
  <c r="O73" i="45" l="1"/>
  <c r="N72" i="45"/>
  <c r="N73" i="45" l="1"/>
  <c r="O74" i="45"/>
  <c r="O75" i="45" l="1"/>
  <c r="N74" i="45"/>
  <c r="O76" i="45" l="1"/>
  <c r="N75" i="45"/>
  <c r="N76" i="45" l="1"/>
  <c r="O77" i="45"/>
  <c r="O78" i="45" l="1"/>
  <c r="N77" i="45"/>
  <c r="N78" i="45" l="1"/>
  <c r="O79" i="45"/>
  <c r="O80" i="45" l="1"/>
  <c r="N79" i="45"/>
  <c r="O81" i="45" l="1"/>
  <c r="N80" i="45"/>
  <c r="N81" i="45" l="1"/>
  <c r="O82" i="45"/>
  <c r="O83" i="45" l="1"/>
  <c r="N82" i="45"/>
  <c r="O84" i="45" l="1"/>
  <c r="N83" i="45"/>
  <c r="N84" i="45" l="1"/>
  <c r="O85" i="45"/>
  <c r="O86" i="45" l="1"/>
  <c r="N85" i="45"/>
  <c r="N86" i="45" l="1"/>
  <c r="O87" i="45"/>
  <c r="O88" i="45" l="1"/>
  <c r="N87" i="45"/>
  <c r="O89" i="45" l="1"/>
  <c r="N88" i="45"/>
  <c r="N89" i="45" l="1"/>
  <c r="O90" i="45"/>
  <c r="O91" i="45" l="1"/>
  <c r="N90" i="45"/>
  <c r="N91" i="45" l="1"/>
  <c r="O92" i="45"/>
  <c r="N92" i="45" l="1"/>
  <c r="O93" i="45"/>
  <c r="O94" i="45" l="1"/>
  <c r="N93" i="45"/>
  <c r="N94" i="45" l="1"/>
  <c r="O95" i="45"/>
  <c r="N95" i="45" l="1"/>
  <c r="O96" i="45"/>
  <c r="O97" i="45" l="1"/>
  <c r="N96" i="45"/>
  <c r="N97" i="45" l="1"/>
  <c r="T9" i="8" l="1"/>
  <c r="J20" i="28" l="1"/>
  <c r="J21" i="28"/>
  <c r="J22" i="28"/>
  <c r="J23" i="28"/>
  <c r="J24" i="28"/>
  <c r="J25" i="28"/>
  <c r="J26" i="28"/>
  <c r="J27" i="28"/>
  <c r="J28" i="28"/>
  <c r="J29" i="28"/>
  <c r="J30" i="28"/>
  <c r="J31" i="28"/>
  <c r="J19" i="28"/>
  <c r="B14" i="28"/>
  <c r="B15" i="28"/>
  <c r="B16" i="28"/>
  <c r="B17" i="28"/>
  <c r="B18" i="28"/>
  <c r="B13" i="28"/>
  <c r="G44" i="5"/>
  <c r="G43" i="5" s="1"/>
  <c r="G42" i="5" s="1"/>
  <c r="G41" i="5" s="1"/>
  <c r="G40" i="5" s="1"/>
  <c r="G39" i="5" s="1"/>
  <c r="G38" i="5" s="1"/>
  <c r="G37" i="5" s="1"/>
  <c r="G36" i="5" s="1"/>
  <c r="G35" i="5" s="1"/>
  <c r="G34" i="5" s="1"/>
  <c r="G33" i="5" s="1"/>
  <c r="G32" i="5" s="1"/>
  <c r="G31" i="5" s="1"/>
  <c r="G30" i="5" s="1"/>
  <c r="G29" i="5" s="1"/>
  <c r="G28" i="5" s="1"/>
  <c r="G27" i="5" s="1"/>
  <c r="G26" i="5" s="1"/>
  <c r="G25" i="5" s="1"/>
  <c r="G24" i="5" s="1"/>
  <c r="G23" i="5" s="1"/>
  <c r="G22" i="5" s="1"/>
  <c r="G21" i="5" s="1"/>
  <c r="G20" i="5" s="1"/>
  <c r="G19" i="5" s="1"/>
  <c r="G18" i="5" s="1"/>
  <c r="G17" i="5" s="1"/>
  <c r="G16" i="5" s="1"/>
  <c r="G15" i="5" s="1"/>
  <c r="G14" i="5" s="1"/>
  <c r="G13" i="5" s="1"/>
  <c r="G12" i="5" s="1"/>
  <c r="G11" i="5" s="1"/>
  <c r="G10" i="5" s="1"/>
  <c r="J26" i="22" l="1"/>
  <c r="J25" i="22"/>
  <c r="J24" i="22"/>
  <c r="J20" i="22"/>
  <c r="J15" i="22"/>
  <c r="J47" i="22"/>
  <c r="J46" i="22"/>
  <c r="J45" i="22"/>
  <c r="J44" i="22"/>
  <c r="J43" i="22"/>
  <c r="J42" i="22"/>
  <c r="J41" i="22"/>
  <c r="J40" i="22"/>
  <c r="J39" i="22"/>
  <c r="J38" i="22"/>
  <c r="J37" i="22"/>
  <c r="J36" i="22"/>
  <c r="J35" i="22"/>
  <c r="J34" i="22"/>
  <c r="J33" i="22"/>
  <c r="J32" i="22"/>
  <c r="J31" i="22"/>
  <c r="J30" i="22"/>
  <c r="J29" i="22"/>
  <c r="J28" i="22"/>
  <c r="J27" i="22"/>
  <c r="J23" i="22"/>
  <c r="J22" i="22"/>
  <c r="J21" i="22"/>
  <c r="J19" i="22"/>
  <c r="J18" i="22"/>
  <c r="J17" i="22"/>
  <c r="J16" i="22"/>
  <c r="J14" i="22"/>
  <c r="J13" i="22"/>
  <c r="J12" i="22"/>
  <c r="J11" i="22"/>
  <c r="J10" i="22"/>
  <c r="J9" i="22"/>
  <c r="J48" i="4" l="1"/>
  <c r="L47" i="4" s="1"/>
  <c r="L46" i="4" s="1"/>
  <c r="L45" i="4" s="1"/>
  <c r="L44" i="4" s="1"/>
  <c r="L43" i="4" s="1"/>
  <c r="L42" i="4" s="1"/>
  <c r="L41" i="4" s="1"/>
  <c r="L40" i="4" s="1"/>
  <c r="L39" i="4" s="1"/>
  <c r="L38" i="4" s="1"/>
  <c r="L37" i="4" s="1"/>
  <c r="L36" i="4" s="1"/>
  <c r="L35" i="4" s="1"/>
  <c r="L34" i="4" s="1"/>
  <c r="L33" i="4" s="1"/>
  <c r="L32" i="4" s="1"/>
  <c r="L31" i="4" s="1"/>
  <c r="L30" i="4" s="1"/>
  <c r="L29" i="4" s="1"/>
  <c r="L28" i="4" s="1"/>
  <c r="L27" i="4" s="1"/>
  <c r="L23" i="4" s="1"/>
  <c r="L22" i="4" s="1"/>
  <c r="L21" i="4" s="1"/>
  <c r="L20" i="4" s="1"/>
  <c r="L19" i="4" s="1"/>
  <c r="L18" i="4" s="1"/>
  <c r="L17" i="4" s="1"/>
  <c r="L16" i="4" s="1"/>
  <c r="L15" i="4" s="1"/>
  <c r="L14" i="4" s="1"/>
  <c r="L13" i="4" s="1"/>
  <c r="L12" i="4" s="1"/>
  <c r="L11" i="4" s="1"/>
  <c r="L10" i="4" s="1"/>
  <c r="L9" i="4" s="1"/>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D39" i="44"/>
  <c r="D37" i="43"/>
  <c r="B11" i="44"/>
  <c r="B12" i="44"/>
  <c r="B13" i="44"/>
  <c r="B14" i="44"/>
  <c r="B15" i="44"/>
  <c r="B16" i="44"/>
  <c r="B17" i="44"/>
  <c r="B18" i="44"/>
  <c r="B19" i="44"/>
  <c r="B20" i="44"/>
  <c r="B21" i="44"/>
  <c r="B22" i="44"/>
  <c r="B23" i="44"/>
  <c r="B24" i="44"/>
  <c r="B25" i="44"/>
  <c r="B26" i="44"/>
  <c r="B27" i="44"/>
  <c r="B28" i="44"/>
  <c r="B29" i="44"/>
  <c r="B30" i="44"/>
  <c r="B31" i="44"/>
  <c r="B32" i="44"/>
  <c r="B33" i="44"/>
  <c r="B34" i="44"/>
  <c r="B35" i="44"/>
  <c r="B36" i="44"/>
  <c r="B37" i="44"/>
  <c r="B38" i="44"/>
  <c r="C38" i="43"/>
  <c r="C39" i="43"/>
  <c r="C40" i="43"/>
  <c r="C41" i="43"/>
  <c r="C42" i="43"/>
  <c r="C43" i="43"/>
  <c r="C44" i="43"/>
  <c r="C45" i="43"/>
  <c r="C37"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9" i="43"/>
  <c r="C10" i="3" l="1"/>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9" i="3"/>
  <c r="D196" i="42"/>
  <c r="E196" i="42"/>
  <c r="F196" i="42"/>
  <c r="G196" i="42"/>
  <c r="H196" i="42"/>
  <c r="I196" i="42"/>
  <c r="J196" i="42"/>
  <c r="K196" i="42"/>
  <c r="D197" i="42"/>
  <c r="E197" i="42"/>
  <c r="F197" i="42"/>
  <c r="G197" i="42"/>
  <c r="H197" i="42"/>
  <c r="I197" i="42"/>
  <c r="J197" i="42"/>
  <c r="K197" i="42"/>
  <c r="C197" i="42"/>
  <c r="C196" i="42"/>
  <c r="D158" i="42" l="1"/>
  <c r="E158" i="42"/>
  <c r="F158" i="42"/>
  <c r="G158" i="42"/>
  <c r="H158" i="42"/>
  <c r="I158" i="42"/>
  <c r="J158" i="42"/>
  <c r="K158" i="42"/>
  <c r="D159" i="42"/>
  <c r="E159" i="42"/>
  <c r="F159" i="42"/>
  <c r="G159" i="42"/>
  <c r="H159" i="42"/>
  <c r="I159" i="42"/>
  <c r="J159" i="42"/>
  <c r="K159" i="42"/>
  <c r="C159" i="42"/>
  <c r="C158" i="42"/>
  <c r="K148" i="42"/>
  <c r="K149" i="42"/>
  <c r="J149" i="42"/>
  <c r="K150" i="42"/>
  <c r="J150" i="42"/>
  <c r="I150" i="42"/>
  <c r="K151" i="42"/>
  <c r="J151" i="42"/>
  <c r="I151" i="42"/>
  <c r="H151" i="42"/>
  <c r="K152" i="42"/>
  <c r="J152" i="42"/>
  <c r="I152" i="42"/>
  <c r="H152" i="42"/>
  <c r="G152" i="42"/>
  <c r="K153" i="42"/>
  <c r="J153" i="42"/>
  <c r="I153" i="42"/>
  <c r="H153" i="42"/>
  <c r="G153" i="42"/>
  <c r="F153" i="42"/>
  <c r="K154" i="42"/>
  <c r="J154" i="42"/>
  <c r="I154" i="42"/>
  <c r="H154" i="42"/>
  <c r="G154" i="42"/>
  <c r="F154" i="42"/>
  <c r="E154" i="42"/>
  <c r="K155" i="42"/>
  <c r="J155" i="42"/>
  <c r="I155" i="42"/>
  <c r="H155" i="42"/>
  <c r="G155" i="42"/>
  <c r="F155" i="42"/>
  <c r="E155" i="42"/>
  <c r="D155" i="42"/>
  <c r="D156" i="42"/>
  <c r="E156" i="42"/>
  <c r="F156" i="42"/>
  <c r="G156" i="42"/>
  <c r="H156" i="42"/>
  <c r="I156" i="42"/>
  <c r="J156" i="42"/>
  <c r="K156" i="42"/>
  <c r="C156" i="42"/>
  <c r="K139" i="42"/>
  <c r="J139" i="42"/>
  <c r="I139" i="42"/>
  <c r="H139" i="42"/>
  <c r="G139" i="42"/>
  <c r="F139" i="42"/>
  <c r="E139" i="42"/>
  <c r="D139" i="42"/>
  <c r="C139" i="42"/>
  <c r="D79" i="42"/>
  <c r="D81" i="42" s="1"/>
  <c r="E79" i="42"/>
  <c r="E81" i="42" s="1"/>
  <c r="F79" i="42"/>
  <c r="F81" i="42" s="1"/>
  <c r="G79" i="42"/>
  <c r="G81" i="42" s="1"/>
  <c r="H79" i="42"/>
  <c r="H81" i="42" s="1"/>
  <c r="I79" i="42"/>
  <c r="I81" i="42" s="1"/>
  <c r="J79" i="42"/>
  <c r="J81" i="42" s="1"/>
  <c r="K79" i="42"/>
  <c r="K81" i="42" s="1"/>
  <c r="C79" i="42"/>
  <c r="C81" i="42" s="1"/>
  <c r="L34" i="42"/>
  <c r="K35" i="42"/>
  <c r="K34" i="42"/>
  <c r="J36" i="42"/>
  <c r="J35" i="42"/>
  <c r="J34" i="42"/>
  <c r="I37" i="42"/>
  <c r="I36" i="42"/>
  <c r="I35" i="42"/>
  <c r="I34" i="42"/>
  <c r="H38" i="42"/>
  <c r="H37" i="42"/>
  <c r="H36" i="42"/>
  <c r="H35" i="42"/>
  <c r="G39" i="42"/>
  <c r="G38" i="42"/>
  <c r="G37" i="42"/>
  <c r="G36" i="42"/>
  <c r="F40" i="42"/>
  <c r="F39" i="42"/>
  <c r="F38" i="42"/>
  <c r="F37" i="42"/>
  <c r="E41" i="42"/>
  <c r="E40" i="42"/>
  <c r="E39" i="42"/>
  <c r="E38" i="42"/>
  <c r="D42" i="42"/>
  <c r="D41" i="42"/>
  <c r="D40" i="42"/>
  <c r="D39" i="42"/>
  <c r="C40" i="42"/>
  <c r="C41" i="42"/>
  <c r="C42" i="42"/>
  <c r="C43" i="42"/>
  <c r="W32" i="20" l="1"/>
  <c r="W31" i="20"/>
  <c r="V31" i="20"/>
  <c r="U31" i="20"/>
  <c r="T31" i="20"/>
  <c r="S31" i="20"/>
  <c r="R31" i="20"/>
  <c r="Q31" i="20"/>
  <c r="P31" i="20"/>
  <c r="O31" i="20"/>
  <c r="N31" i="20"/>
  <c r="M31" i="20"/>
  <c r="L31" i="20"/>
  <c r="K31" i="20"/>
  <c r="J31" i="20"/>
  <c r="I31" i="20"/>
  <c r="H31" i="20"/>
  <c r="G31" i="20"/>
  <c r="F31" i="20"/>
  <c r="E31" i="20"/>
  <c r="D31" i="20"/>
  <c r="C31" i="20"/>
  <c r="B31" i="20"/>
  <c r="Q33" i="10"/>
  <c r="P33" i="10"/>
  <c r="O33" i="10"/>
  <c r="N33" i="10"/>
  <c r="M33" i="10"/>
  <c r="L33" i="10"/>
  <c r="K33" i="10"/>
  <c r="J33" i="10"/>
  <c r="I33" i="10"/>
  <c r="H33" i="10"/>
  <c r="G33" i="10"/>
  <c r="F33" i="10"/>
  <c r="E33" i="10"/>
  <c r="D33" i="10"/>
  <c r="C33" i="10"/>
  <c r="B33" i="10"/>
  <c r="W31" i="19"/>
  <c r="V31" i="19"/>
  <c r="U31" i="19"/>
  <c r="T31" i="19"/>
  <c r="S31" i="19"/>
  <c r="R31" i="19"/>
  <c r="Q31" i="19"/>
  <c r="P31" i="19"/>
  <c r="O31" i="19"/>
  <c r="N31" i="19"/>
  <c r="M31" i="19"/>
  <c r="L31" i="19"/>
  <c r="K31" i="19"/>
  <c r="J31" i="19"/>
  <c r="I31" i="19"/>
  <c r="H31" i="19"/>
  <c r="G31" i="19"/>
  <c r="F31" i="19"/>
  <c r="E31" i="19"/>
  <c r="D31" i="19"/>
  <c r="C31" i="19"/>
  <c r="B31" i="19"/>
  <c r="Q33" i="2"/>
  <c r="P33" i="2"/>
  <c r="O33" i="2"/>
  <c r="N33" i="2"/>
  <c r="M33" i="2"/>
  <c r="L33" i="2"/>
  <c r="K33" i="2"/>
  <c r="J33" i="2"/>
  <c r="I33" i="2"/>
  <c r="H33" i="2"/>
  <c r="G33" i="2"/>
  <c r="F33" i="2"/>
  <c r="E33" i="2"/>
  <c r="D33" i="2"/>
  <c r="C33" i="2"/>
  <c r="B33" i="2"/>
  <c r="B10" i="43" l="1"/>
  <c r="A12" i="44" l="1"/>
  <c r="B11" i="43"/>
  <c r="A13" i="44" l="1"/>
  <c r="B12" i="43"/>
  <c r="A14" i="44" l="1"/>
  <c r="B13" i="43"/>
  <c r="A15" i="44" l="1"/>
  <c r="B14" i="43"/>
  <c r="A16" i="44" l="1"/>
  <c r="B15" i="43"/>
  <c r="A17" i="44" l="1"/>
  <c r="B16" i="43"/>
  <c r="A18" i="44" l="1"/>
  <c r="B17" i="43"/>
  <c r="A19" i="44" l="1"/>
  <c r="B18" i="43"/>
  <c r="A20" i="44" l="1"/>
  <c r="B19" i="43"/>
  <c r="A21" i="44" l="1"/>
  <c r="B20" i="43"/>
  <c r="A22" i="44" l="1"/>
  <c r="B21" i="43"/>
  <c r="A23" i="44" l="1"/>
  <c r="B22" i="43"/>
  <c r="A24" i="44" l="1"/>
  <c r="B23" i="43"/>
  <c r="A25" i="44" l="1"/>
  <c r="B24" i="43"/>
  <c r="A26" i="44" l="1"/>
  <c r="B25" i="43"/>
  <c r="A27" i="44" l="1"/>
  <c r="B26" i="43"/>
  <c r="A28" i="44" l="1"/>
  <c r="B27" i="43"/>
  <c r="A29" i="44" l="1"/>
  <c r="B28" i="43"/>
  <c r="A30" i="44" l="1"/>
  <c r="B29" i="43"/>
  <c r="A31" i="44" l="1"/>
  <c r="B30" i="43"/>
  <c r="A32" i="44" l="1"/>
  <c r="B31" i="43"/>
  <c r="A33" i="44" l="1"/>
  <c r="B32" i="43"/>
  <c r="A34" i="44" l="1"/>
  <c r="B33" i="43"/>
  <c r="A35" i="44" l="1"/>
  <c r="B34" i="43"/>
  <c r="A36" i="44" l="1"/>
  <c r="B35" i="43"/>
  <c r="A37" i="44" l="1"/>
  <c r="B36" i="43"/>
  <c r="A38" i="44" l="1"/>
  <c r="B37" i="43"/>
  <c r="A39" i="44" l="1"/>
  <c r="B38" i="43"/>
  <c r="A40" i="44" l="1"/>
  <c r="B39" i="43"/>
  <c r="A41" i="44" l="1"/>
  <c r="B40" i="43"/>
  <c r="A42" i="44" l="1"/>
  <c r="B41" i="43"/>
  <c r="A43" i="44" l="1"/>
  <c r="B42" i="43"/>
  <c r="A44" i="44" l="1"/>
  <c r="B43" i="43"/>
  <c r="A45" i="44" l="1"/>
  <c r="B44" i="43"/>
  <c r="A46" i="44" l="1"/>
  <c r="B45" i="43"/>
  <c r="A47" i="44" l="1"/>
  <c r="A38" i="16" l="1"/>
  <c r="A39" i="16" s="1"/>
  <c r="A40" i="16" s="1"/>
  <c r="A41" i="16" s="1"/>
  <c r="A42" i="16" s="1"/>
  <c r="A43" i="16" s="1"/>
  <c r="A44" i="16" s="1"/>
  <c r="A45" i="16" s="1"/>
  <c r="A46" i="16" s="1"/>
  <c r="A47" i="16" s="1"/>
  <c r="A33" i="16"/>
  <c r="A42" i="13" l="1"/>
  <c r="A37" i="13"/>
  <c r="A43" i="13" l="1"/>
  <c r="A44" i="13" l="1"/>
  <c r="K47" i="7"/>
  <c r="K47" i="29" s="1"/>
  <c r="K48" i="7"/>
  <c r="K48" i="29" s="1"/>
  <c r="K49" i="7"/>
  <c r="K49" i="29" s="1"/>
  <c r="A45" i="13" l="1"/>
  <c r="A46" i="13" l="1"/>
  <c r="A47" i="13" l="1"/>
  <c r="A48" i="13" l="1"/>
  <c r="A49" i="13" l="1"/>
  <c r="A50" i="13" l="1"/>
  <c r="A51" i="13" l="1"/>
  <c r="C26" i="42"/>
  <c r="D26" i="42" s="1"/>
  <c r="E26" i="42" s="1"/>
  <c r="F26" i="42" s="1"/>
  <c r="G26" i="42" s="1"/>
  <c r="H26" i="42" s="1"/>
  <c r="I26" i="42" s="1"/>
  <c r="J26" i="42" s="1"/>
  <c r="K26" i="42" s="1"/>
  <c r="L26" i="42" s="1"/>
  <c r="B10" i="27" l="1"/>
  <c r="N95" i="36" l="1"/>
  <c r="N96" i="36"/>
  <c r="N97" i="36"/>
  <c r="O11" i="8" l="1"/>
  <c r="M49" i="29" l="1"/>
  <c r="O49" i="29" s="1"/>
  <c r="M49" i="7"/>
  <c r="O49" i="7" s="1"/>
  <c r="P49" i="7"/>
  <c r="L49" i="7" s="1"/>
  <c r="N49" i="7" l="1"/>
  <c r="L49" i="29"/>
  <c r="N49" i="29" s="1"/>
  <c r="A50" i="7"/>
  <c r="A51" i="5"/>
  <c r="G8" i="5" s="1"/>
  <c r="B155" i="42" l="1"/>
  <c r="B133" i="42"/>
  <c r="B76" i="42"/>
  <c r="B43" i="42"/>
  <c r="A174" i="42" l="1"/>
  <c r="A173" i="42"/>
  <c r="A172" i="42"/>
  <c r="B156" i="42" l="1"/>
  <c r="A116" i="42" l="1"/>
  <c r="A115" i="42"/>
  <c r="A114" i="42"/>
  <c r="B134" i="42"/>
  <c r="B132" i="42"/>
  <c r="B97" i="42"/>
  <c r="B77" i="42"/>
  <c r="A59" i="42"/>
  <c r="A58" i="42"/>
  <c r="A57" i="42"/>
  <c r="B96" i="42" l="1"/>
  <c r="B131" i="42"/>
  <c r="B154" i="42"/>
  <c r="B75" i="42"/>
  <c r="B42" i="42"/>
  <c r="B95" i="42" l="1"/>
  <c r="B130" i="42"/>
  <c r="B153" i="42"/>
  <c r="B74" i="42"/>
  <c r="B41" i="42"/>
  <c r="B94" i="42" l="1"/>
  <c r="B152" i="42"/>
  <c r="B129" i="42"/>
  <c r="B73" i="42"/>
  <c r="B40" i="42"/>
  <c r="B93" i="42" l="1"/>
  <c r="B151" i="42"/>
  <c r="B128" i="42"/>
  <c r="B72" i="42"/>
  <c r="B39" i="42"/>
  <c r="B92" i="42" l="1"/>
  <c r="B127" i="42"/>
  <c r="B150" i="42"/>
  <c r="B71" i="42"/>
  <c r="B38" i="42"/>
  <c r="A1" i="16"/>
  <c r="A1" i="13"/>
  <c r="B91" i="42" l="1"/>
  <c r="B149" i="42"/>
  <c r="B126" i="42"/>
  <c r="B70" i="42"/>
  <c r="B37" i="42"/>
  <c r="B90" i="42" l="1"/>
  <c r="B125" i="42"/>
  <c r="B148" i="42"/>
  <c r="B69" i="42"/>
  <c r="B36" i="42"/>
  <c r="B89" i="42" l="1"/>
  <c r="B147" i="42"/>
  <c r="B124" i="42"/>
  <c r="B68" i="42"/>
  <c r="B35" i="42"/>
  <c r="B88" i="42" l="1"/>
  <c r="B146" i="42"/>
  <c r="B67" i="42"/>
  <c r="B34" i="42"/>
  <c r="G53" i="13" l="1"/>
  <c r="D40" i="43" s="1"/>
  <c r="H53" i="13"/>
  <c r="D39" i="43" s="1"/>
  <c r="I53" i="13"/>
  <c r="D38" i="43" s="1"/>
  <c r="B53" i="13"/>
  <c r="D45" i="43" s="1"/>
  <c r="C53" i="13"/>
  <c r="D44" i="43" s="1"/>
  <c r="D53" i="13"/>
  <c r="D43" i="43" s="1"/>
  <c r="E53" i="13"/>
  <c r="D42" i="43" s="1"/>
  <c r="F53" i="13"/>
  <c r="D41" i="43" s="1"/>
  <c r="D33" i="42" l="1"/>
  <c r="E33" i="42" s="1"/>
  <c r="F33" i="42" s="1"/>
  <c r="G33" i="42" s="1"/>
  <c r="H33" i="42" s="1"/>
  <c r="I33" i="42" s="1"/>
  <c r="J33" i="42" s="1"/>
  <c r="K33" i="42" s="1"/>
  <c r="L33" i="42" s="1"/>
  <c r="D145" i="42"/>
  <c r="D87" i="42"/>
  <c r="B137" i="42"/>
  <c r="B101" i="42"/>
  <c r="B159" i="42"/>
  <c r="D123" i="42"/>
  <c r="C66" i="42" l="1"/>
  <c r="D11" i="42"/>
  <c r="C179" i="42"/>
  <c r="E87" i="42"/>
  <c r="E123" i="42"/>
  <c r="E145" i="42"/>
  <c r="B206" i="42"/>
  <c r="B211" i="42"/>
  <c r="B20" i="42"/>
  <c r="D66" i="42" l="1"/>
  <c r="D179" i="42"/>
  <c r="E11" i="42"/>
  <c r="F123" i="42"/>
  <c r="F87" i="42"/>
  <c r="B207" i="42"/>
  <c r="B212" i="42"/>
  <c r="F145" i="42"/>
  <c r="B19" i="42"/>
  <c r="E66" i="42" l="1"/>
  <c r="E179" i="42"/>
  <c r="F11" i="42"/>
  <c r="G145" i="42"/>
  <c r="G87" i="42"/>
  <c r="G123" i="42"/>
  <c r="B18" i="42"/>
  <c r="K50" i="7"/>
  <c r="P48" i="7"/>
  <c r="L48" i="7" s="1"/>
  <c r="P47" i="7"/>
  <c r="P50" i="7" l="1"/>
  <c r="L50" i="7" s="1"/>
  <c r="K50" i="29"/>
  <c r="F179" i="42"/>
  <c r="G11" i="42"/>
  <c r="F66" i="42"/>
  <c r="H145" i="42"/>
  <c r="H87" i="42"/>
  <c r="H123" i="42"/>
  <c r="B17" i="42"/>
  <c r="G66" i="42" l="1"/>
  <c r="H11" i="42"/>
  <c r="G179" i="42"/>
  <c r="I123" i="42"/>
  <c r="I87" i="42"/>
  <c r="I145" i="42"/>
  <c r="B16" i="42"/>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11" i="5"/>
  <c r="A38" i="7" l="1"/>
  <c r="A37" i="29"/>
  <c r="H66" i="42"/>
  <c r="I11" i="42"/>
  <c r="H179" i="42"/>
  <c r="J145" i="42"/>
  <c r="J123" i="42"/>
  <c r="J87" i="42"/>
  <c r="B15" i="42"/>
  <c r="A12" i="5"/>
  <c r="A39" i="7" l="1"/>
  <c r="A38" i="29"/>
  <c r="I66" i="42"/>
  <c r="A13" i="5"/>
  <c r="J11" i="42"/>
  <c r="I179" i="42"/>
  <c r="K123" i="42"/>
  <c r="K87" i="42"/>
  <c r="K145" i="42"/>
  <c r="B14" i="42"/>
  <c r="A39" i="29" l="1"/>
  <c r="A40" i="7"/>
  <c r="A40" i="29" s="1"/>
  <c r="K11" i="42"/>
  <c r="A14" i="5"/>
  <c r="J66" i="42"/>
  <c r="J179" i="42"/>
  <c r="B13" i="42"/>
  <c r="A41" i="7" l="1"/>
  <c r="A41" i="29" s="1"/>
  <c r="K66" i="42"/>
  <c r="K179" i="42"/>
  <c r="L11" i="42"/>
  <c r="L66" i="42" s="1"/>
  <c r="A15" i="5"/>
  <c r="B12" i="42"/>
  <c r="A42" i="7" l="1"/>
  <c r="A16" i="5"/>
  <c r="A42" i="29" l="1"/>
  <c r="A43" i="7"/>
  <c r="A17" i="5"/>
  <c r="A44" i="7" l="1"/>
  <c r="A43" i="29"/>
  <c r="A18" i="5"/>
  <c r="A45" i="7" l="1"/>
  <c r="A45" i="29" s="1"/>
  <c r="A44" i="29"/>
  <c r="A48" i="7"/>
  <c r="A49" i="7" s="1"/>
  <c r="A19" i="5"/>
  <c r="A20" i="5" l="1"/>
  <c r="A21" i="5" l="1"/>
  <c r="A22" i="5" l="1"/>
  <c r="A23" i="5" l="1"/>
  <c r="A24" i="5" l="1"/>
  <c r="A25" i="5" l="1"/>
  <c r="A26" i="5" l="1"/>
  <c r="A27" i="5" l="1"/>
  <c r="A28" i="5" l="1"/>
  <c r="A49" i="29"/>
  <c r="A48" i="29"/>
  <c r="A36" i="29"/>
  <c r="A35" i="29"/>
  <c r="A34" i="29"/>
  <c r="A33" i="29"/>
  <c r="A32" i="29"/>
  <c r="A31" i="29"/>
  <c r="A30" i="29"/>
  <c r="A28" i="29"/>
  <c r="A27" i="29"/>
  <c r="A25" i="29"/>
  <c r="A24" i="29"/>
  <c r="A23" i="29"/>
  <c r="A22" i="29"/>
  <c r="A21" i="29"/>
  <c r="A20" i="29"/>
  <c r="A19" i="29"/>
  <c r="A18" i="29"/>
  <c r="A17" i="29"/>
  <c r="A16" i="29"/>
  <c r="A15" i="29"/>
  <c r="A14" i="29"/>
  <c r="A13" i="29"/>
  <c r="A12" i="29"/>
  <c r="A11" i="29"/>
  <c r="A9" i="29"/>
  <c r="M47" i="29"/>
  <c r="O47" i="29" s="1"/>
  <c r="M48" i="7"/>
  <c r="O48" i="7" s="1"/>
  <c r="M50" i="7"/>
  <c r="O50" i="7" s="1"/>
  <c r="N98" i="36"/>
  <c r="O99" i="36"/>
  <c r="O100" i="36" s="1"/>
  <c r="N100" i="36" s="1"/>
  <c r="A14" i="28"/>
  <c r="A15" i="28" s="1"/>
  <c r="A16" i="28" s="1"/>
  <c r="A17" i="28" s="1"/>
  <c r="A18" i="28" s="1"/>
  <c r="A19" i="28" s="1"/>
  <c r="A20" i="28" s="1"/>
  <c r="A21" i="28" s="1"/>
  <c r="A22" i="28" s="1"/>
  <c r="B11" i="26"/>
  <c r="M47" i="7"/>
  <c r="O47" i="7" s="1"/>
  <c r="L46" i="27"/>
  <c r="G47" i="23"/>
  <c r="B12" i="26" l="1"/>
  <c r="B12" i="27" s="1"/>
  <c r="B11" i="27"/>
  <c r="N99" i="36"/>
  <c r="A29" i="5"/>
  <c r="O101" i="36"/>
  <c r="B13" i="26"/>
  <c r="B13" i="27" s="1"/>
  <c r="A10" i="25"/>
  <c r="A30" i="2"/>
  <c r="B4" i="15"/>
  <c r="B31" i="15" s="1"/>
  <c r="A23" i="28"/>
  <c r="N50" i="7"/>
  <c r="L48" i="29"/>
  <c r="N48" i="29" s="1"/>
  <c r="N48" i="7"/>
  <c r="A26" i="29"/>
  <c r="A29" i="29"/>
  <c r="M48" i="29"/>
  <c r="O48" i="29" s="1"/>
  <c r="A10" i="29"/>
  <c r="L50" i="29"/>
  <c r="N50" i="29" s="1"/>
  <c r="M50" i="29"/>
  <c r="O50" i="29" s="1"/>
  <c r="R33" i="13" l="1"/>
  <c r="J33" i="13"/>
  <c r="D37" i="3" s="1"/>
  <c r="B33" i="13"/>
  <c r="D45" i="3" s="1"/>
  <c r="Q33" i="13"/>
  <c r="C33" i="13"/>
  <c r="D44" i="3" s="1"/>
  <c r="P33" i="13"/>
  <c r="D33" i="13"/>
  <c r="D43" i="3" s="1"/>
  <c r="O33" i="13"/>
  <c r="E33" i="13"/>
  <c r="D42" i="3" s="1"/>
  <c r="V33" i="13"/>
  <c r="N33" i="13"/>
  <c r="F33" i="13"/>
  <c r="D41" i="3" s="1"/>
  <c r="U33" i="13"/>
  <c r="M33" i="13"/>
  <c r="G33" i="13"/>
  <c r="D40" i="3" s="1"/>
  <c r="T33" i="13"/>
  <c r="L33" i="13"/>
  <c r="H33" i="13"/>
  <c r="D39" i="3" s="1"/>
  <c r="S33" i="13"/>
  <c r="K33" i="13"/>
  <c r="I33" i="13"/>
  <c r="D38" i="3" s="1"/>
  <c r="L54" i="12"/>
  <c r="D54" i="12"/>
  <c r="M54" i="12"/>
  <c r="E54" i="12"/>
  <c r="N54" i="12"/>
  <c r="F54" i="12"/>
  <c r="O54" i="12"/>
  <c r="G54" i="12"/>
  <c r="P54" i="12"/>
  <c r="H54" i="12"/>
  <c r="Q54" i="12"/>
  <c r="I54" i="12"/>
  <c r="J54" i="12"/>
  <c r="B54" i="12"/>
  <c r="K54" i="12"/>
  <c r="C54" i="12"/>
  <c r="B57" i="15"/>
  <c r="N33" i="11"/>
  <c r="O33" i="11"/>
  <c r="P33" i="11"/>
  <c r="Q33" i="11"/>
  <c r="J33" i="11"/>
  <c r="K33" i="11"/>
  <c r="L33" i="11"/>
  <c r="M33" i="11"/>
  <c r="I33" i="11"/>
  <c r="H33" i="11"/>
  <c r="G33" i="11"/>
  <c r="F33" i="11"/>
  <c r="E33" i="11"/>
  <c r="D33" i="11"/>
  <c r="C33" i="11"/>
  <c r="B33" i="11"/>
  <c r="C49" i="16"/>
  <c r="D46" i="44" s="1"/>
  <c r="D49" i="16"/>
  <c r="D45" i="44" s="1"/>
  <c r="E49" i="16"/>
  <c r="D44" i="44" s="1"/>
  <c r="F49" i="16"/>
  <c r="D43" i="44" s="1"/>
  <c r="B49" i="16"/>
  <c r="D47" i="44" s="1"/>
  <c r="G49" i="16"/>
  <c r="D42" i="44" s="1"/>
  <c r="H49" i="16"/>
  <c r="D41" i="44" s="1"/>
  <c r="I49" i="16"/>
  <c r="D40" i="44" s="1"/>
  <c r="A29" i="2"/>
  <c r="A41" i="1"/>
  <c r="A30" i="5"/>
  <c r="B10" i="4"/>
  <c r="B11" i="4" s="1"/>
  <c r="A9" i="24"/>
  <c r="B14" i="26"/>
  <c r="A24" i="28"/>
  <c r="B4" i="14"/>
  <c r="A31" i="10"/>
  <c r="A30" i="10" s="1"/>
  <c r="A50" i="29"/>
  <c r="O102" i="36"/>
  <c r="N101" i="36"/>
  <c r="A8" i="22"/>
  <c r="A8" i="23"/>
  <c r="A12" i="18"/>
  <c r="C4" i="15"/>
  <c r="D4" i="15" s="1"/>
  <c r="B4" i="20"/>
  <c r="B4" i="21"/>
  <c r="B4" i="19"/>
  <c r="B10" i="3"/>
  <c r="A1" i="17"/>
  <c r="A1" i="14"/>
  <c r="D27" i="3" l="1"/>
  <c r="D27" i="43"/>
  <c r="D32" i="3"/>
  <c r="D32" i="43"/>
  <c r="B31" i="21"/>
  <c r="D34" i="3"/>
  <c r="D34" i="43"/>
  <c r="D31" i="3"/>
  <c r="D31" i="43"/>
  <c r="D26" i="3"/>
  <c r="D26" i="43"/>
  <c r="D36" i="3"/>
  <c r="D36" i="43"/>
  <c r="D30" i="3"/>
  <c r="D30" i="43"/>
  <c r="B26" i="14"/>
  <c r="D28" i="3"/>
  <c r="D28" i="43"/>
  <c r="D33" i="3"/>
  <c r="D33" i="43"/>
  <c r="D25" i="3"/>
  <c r="D25" i="43"/>
  <c r="D35" i="3"/>
  <c r="D35" i="43"/>
  <c r="D29" i="3"/>
  <c r="D29" i="43"/>
  <c r="C26" i="17"/>
  <c r="D26" i="44" s="1"/>
  <c r="B26" i="17"/>
  <c r="D27" i="44" s="1"/>
  <c r="K29" i="16"/>
  <c r="D38" i="44" s="1"/>
  <c r="S29" i="16"/>
  <c r="D30" i="44" s="1"/>
  <c r="E29" i="16"/>
  <c r="P29" i="16"/>
  <c r="D33" i="44" s="1"/>
  <c r="R29" i="16"/>
  <c r="D31" i="44" s="1"/>
  <c r="L29" i="16"/>
  <c r="T29" i="16"/>
  <c r="D29" i="44" s="1"/>
  <c r="F29" i="16"/>
  <c r="H29" i="16"/>
  <c r="C29" i="16"/>
  <c r="M29" i="16"/>
  <c r="D36" i="44" s="1"/>
  <c r="U29" i="16"/>
  <c r="D28" i="44" s="1"/>
  <c r="G29" i="16"/>
  <c r="V29" i="16"/>
  <c r="Q29" i="16"/>
  <c r="D32" i="44" s="1"/>
  <c r="N29" i="16"/>
  <c r="D35" i="44" s="1"/>
  <c r="O29" i="16"/>
  <c r="D34" i="44" s="1"/>
  <c r="J29" i="16"/>
  <c r="B29" i="16"/>
  <c r="I29" i="16"/>
  <c r="D29" i="16"/>
  <c r="A29" i="10"/>
  <c r="A28" i="2"/>
  <c r="B15" i="26"/>
  <c r="B15" i="27" s="1"/>
  <c r="B14" i="27"/>
  <c r="A40" i="1"/>
  <c r="C4" i="14"/>
  <c r="A11" i="25"/>
  <c r="A9" i="22"/>
  <c r="A10" i="24"/>
  <c r="A9" i="23"/>
  <c r="A31" i="5"/>
  <c r="A25" i="28"/>
  <c r="B11" i="3"/>
  <c r="A13" i="18"/>
  <c r="A31" i="11"/>
  <c r="A30" i="11" s="1"/>
  <c r="O103" i="36"/>
  <c r="N102" i="36"/>
  <c r="C31" i="15"/>
  <c r="C4" i="21"/>
  <c r="C4" i="20"/>
  <c r="C4" i="19"/>
  <c r="D31" i="15"/>
  <c r="E4" i="15"/>
  <c r="B12" i="4"/>
  <c r="A10" i="23"/>
  <c r="A10" i="22"/>
  <c r="A11" i="24"/>
  <c r="A12" i="25"/>
  <c r="C31" i="21" l="1"/>
  <c r="B27" i="14"/>
  <c r="D24" i="3"/>
  <c r="D24" i="43"/>
  <c r="C57" i="15"/>
  <c r="D57" i="15"/>
  <c r="C26" i="14"/>
  <c r="D37" i="44"/>
  <c r="B27" i="17"/>
  <c r="C27" i="17"/>
  <c r="A14" i="18"/>
  <c r="D26" i="17"/>
  <c r="D25" i="44" s="1"/>
  <c r="E26" i="17"/>
  <c r="D24" i="44" s="1"/>
  <c r="B16" i="26"/>
  <c r="B16" i="27" s="1"/>
  <c r="A29" i="11"/>
  <c r="A28" i="10"/>
  <c r="D4" i="14"/>
  <c r="E4" i="14" s="1"/>
  <c r="A39" i="1"/>
  <c r="A27" i="2"/>
  <c r="A26" i="28"/>
  <c r="A32" i="5"/>
  <c r="B12" i="3"/>
  <c r="B13" i="3" s="1"/>
  <c r="A31" i="12"/>
  <c r="A30" i="12" s="1"/>
  <c r="O104" i="36"/>
  <c r="N103" i="36"/>
  <c r="D4" i="20"/>
  <c r="D4" i="21"/>
  <c r="D4" i="19"/>
  <c r="B17" i="26"/>
  <c r="B17" i="27" s="1"/>
  <c r="F4" i="15"/>
  <c r="E31" i="15"/>
  <c r="A12" i="24"/>
  <c r="A11" i="22"/>
  <c r="B13" i="4"/>
  <c r="A13" i="25"/>
  <c r="A11" i="23"/>
  <c r="A15" i="18"/>
  <c r="C27" i="14" l="1"/>
  <c r="D23" i="3"/>
  <c r="D23" i="43"/>
  <c r="E26" i="14"/>
  <c r="D26" i="14"/>
  <c r="E57" i="15"/>
  <c r="D31" i="21"/>
  <c r="D27" i="17"/>
  <c r="E27" i="17"/>
  <c r="A27" i="10"/>
  <c r="A28" i="11"/>
  <c r="A29" i="12"/>
  <c r="A51" i="12"/>
  <c r="A27" i="28"/>
  <c r="A26" i="2"/>
  <c r="A38" i="1"/>
  <c r="A33" i="5"/>
  <c r="F4" i="14"/>
  <c r="A31" i="13"/>
  <c r="A30" i="13" s="1"/>
  <c r="A52" i="12"/>
  <c r="N104" i="36"/>
  <c r="O105" i="36"/>
  <c r="E4" i="21"/>
  <c r="E4" i="20"/>
  <c r="E4" i="19"/>
  <c r="B18" i="26"/>
  <c r="B18" i="27" s="1"/>
  <c r="F31" i="15"/>
  <c r="G4" i="15"/>
  <c r="A13" i="24"/>
  <c r="B14" i="4"/>
  <c r="A14" i="25"/>
  <c r="A12" i="23"/>
  <c r="A12" i="22"/>
  <c r="A16" i="18"/>
  <c r="B14" i="3"/>
  <c r="F26" i="14" l="1"/>
  <c r="E27" i="14"/>
  <c r="D21" i="3"/>
  <c r="D21" i="43"/>
  <c r="F57" i="15"/>
  <c r="D22" i="3"/>
  <c r="D27" i="14"/>
  <c r="D22" i="43"/>
  <c r="E31" i="21"/>
  <c r="F26" i="17"/>
  <c r="D23" i="44" s="1"/>
  <c r="A27" i="11"/>
  <c r="A26" i="10"/>
  <c r="A29" i="13"/>
  <c r="A28" i="12"/>
  <c r="A50" i="12"/>
  <c r="A28" i="28"/>
  <c r="A29" i="28" s="1"/>
  <c r="A37" i="1"/>
  <c r="A25" i="2"/>
  <c r="A34" i="5"/>
  <c r="G4" i="14"/>
  <c r="O106" i="36"/>
  <c r="N105" i="36"/>
  <c r="F4" i="20"/>
  <c r="F4" i="21"/>
  <c r="F4" i="19"/>
  <c r="B19" i="26"/>
  <c r="B19" i="27" s="1"/>
  <c r="G31" i="15"/>
  <c r="H4" i="15"/>
  <c r="A13" i="23"/>
  <c r="A15" i="25"/>
  <c r="A13" i="22"/>
  <c r="A14" i="24"/>
  <c r="B15" i="4"/>
  <c r="A17" i="18"/>
  <c r="B15" i="3"/>
  <c r="F31" i="21" l="1"/>
  <c r="G26" i="14"/>
  <c r="G57" i="15"/>
  <c r="G26" i="17"/>
  <c r="B43" i="44"/>
  <c r="A25" i="10"/>
  <c r="A26" i="11"/>
  <c r="A27" i="12"/>
  <c r="A49" i="12"/>
  <c r="A28" i="13"/>
  <c r="B43" i="18"/>
  <c r="A30" i="28"/>
  <c r="A36" i="1"/>
  <c r="A24" i="2"/>
  <c r="I38" i="1"/>
  <c r="A35" i="5"/>
  <c r="H4" i="14"/>
  <c r="H26" i="14" s="1"/>
  <c r="O107" i="36"/>
  <c r="N106" i="36"/>
  <c r="G4" i="21"/>
  <c r="G31" i="21" s="1"/>
  <c r="G4" i="20"/>
  <c r="G4" i="19"/>
  <c r="B20" i="26"/>
  <c r="B20" i="27" s="1"/>
  <c r="H26" i="17"/>
  <c r="H31" i="15"/>
  <c r="H57" i="15" s="1"/>
  <c r="I4" i="15"/>
  <c r="A16" i="25"/>
  <c r="B16" i="4"/>
  <c r="A14" i="23"/>
  <c r="A14" i="22"/>
  <c r="A15" i="24"/>
  <c r="B16" i="3"/>
  <c r="A18" i="18"/>
  <c r="C43" i="44" l="1"/>
  <c r="B42" i="44"/>
  <c r="A25" i="11"/>
  <c r="A24" i="10"/>
  <c r="A27" i="13"/>
  <c r="A26" i="12"/>
  <c r="A48" i="12"/>
  <c r="B42" i="18"/>
  <c r="A31" i="28"/>
  <c r="A23" i="2"/>
  <c r="I37" i="1"/>
  <c r="A35" i="1"/>
  <c r="A36" i="5"/>
  <c r="I4" i="14"/>
  <c r="I26" i="14" s="1"/>
  <c r="N2" i="36"/>
  <c r="O3" i="36"/>
  <c r="O108" i="36"/>
  <c r="N107" i="36"/>
  <c r="H4" i="21"/>
  <c r="H31" i="21" s="1"/>
  <c r="H4" i="20"/>
  <c r="H4" i="19"/>
  <c r="B21" i="26"/>
  <c r="B21" i="27" s="1"/>
  <c r="I26" i="17"/>
  <c r="I31" i="15"/>
  <c r="I57" i="15" s="1"/>
  <c r="J4" i="15"/>
  <c r="A16" i="24"/>
  <c r="A15" i="22"/>
  <c r="B17" i="4"/>
  <c r="A17" i="25"/>
  <c r="A15" i="23"/>
  <c r="A19" i="18"/>
  <c r="B17" i="3"/>
  <c r="C42" i="44" l="1"/>
  <c r="B41" i="44"/>
  <c r="A23" i="10"/>
  <c r="A24" i="11"/>
  <c r="A23" i="11" s="1"/>
  <c r="A25" i="12"/>
  <c r="A47" i="12"/>
  <c r="A26" i="13"/>
  <c r="B41" i="18"/>
  <c r="I36" i="1"/>
  <c r="A34" i="1"/>
  <c r="A22" i="2"/>
  <c r="A37" i="5"/>
  <c r="J4" i="14"/>
  <c r="J26" i="14" s="1"/>
  <c r="O4" i="36"/>
  <c r="N3" i="36"/>
  <c r="A22" i="10"/>
  <c r="O109" i="36"/>
  <c r="N108" i="36"/>
  <c r="I4" i="21"/>
  <c r="I31" i="21" s="1"/>
  <c r="I4" i="20"/>
  <c r="I4" i="19"/>
  <c r="B22" i="26"/>
  <c r="B22" i="27" s="1"/>
  <c r="J26" i="17"/>
  <c r="J31" i="15"/>
  <c r="J57" i="15" s="1"/>
  <c r="K4" i="15"/>
  <c r="A16" i="22"/>
  <c r="A18" i="25"/>
  <c r="A16" i="23"/>
  <c r="A17" i="24"/>
  <c r="B18" i="4"/>
  <c r="A20" i="18"/>
  <c r="B18" i="3"/>
  <c r="C41" i="44" l="1"/>
  <c r="B40" i="44"/>
  <c r="A25" i="13"/>
  <c r="A24" i="12"/>
  <c r="A46" i="12"/>
  <c r="A33" i="1"/>
  <c r="A21" i="2"/>
  <c r="I35" i="1"/>
  <c r="B40" i="18"/>
  <c r="A38" i="5"/>
  <c r="K4" i="14"/>
  <c r="K26" i="14" s="1"/>
  <c r="O5" i="36"/>
  <c r="N4" i="36"/>
  <c r="A21" i="10"/>
  <c r="A22" i="11"/>
  <c r="N109" i="36"/>
  <c r="O110" i="36"/>
  <c r="J4" i="20"/>
  <c r="J4" i="21"/>
  <c r="J31" i="21" s="1"/>
  <c r="J4" i="19"/>
  <c r="B23" i="26"/>
  <c r="B23" i="27" s="1"/>
  <c r="K26" i="17"/>
  <c r="L4" i="15"/>
  <c r="K31" i="15"/>
  <c r="K57" i="15" s="1"/>
  <c r="C188" i="42" s="1"/>
  <c r="A18" i="24"/>
  <c r="A17" i="23"/>
  <c r="A17" i="22"/>
  <c r="A19" i="25"/>
  <c r="B19" i="4"/>
  <c r="A21" i="18"/>
  <c r="B19" i="3"/>
  <c r="C211" i="42" l="1"/>
  <c r="C212" i="42"/>
  <c r="C40" i="44"/>
  <c r="B39" i="44"/>
  <c r="A23" i="12"/>
  <c r="A45" i="12"/>
  <c r="A24" i="13"/>
  <c r="I34" i="1"/>
  <c r="B39" i="18"/>
  <c r="A20" i="2"/>
  <c r="A32" i="1"/>
  <c r="A39" i="5"/>
  <c r="L4" i="14"/>
  <c r="L26" i="14" s="1"/>
  <c r="N5" i="36"/>
  <c r="O6" i="36"/>
  <c r="A20" i="10"/>
  <c r="A21" i="11"/>
  <c r="O111" i="36"/>
  <c r="N110" i="36"/>
  <c r="K4" i="21"/>
  <c r="K31" i="21" s="1"/>
  <c r="C187" i="42" s="1"/>
  <c r="K4" i="20"/>
  <c r="K4" i="19"/>
  <c r="B24" i="26"/>
  <c r="B24" i="27" s="1"/>
  <c r="L31" i="15"/>
  <c r="L57" i="15" s="1"/>
  <c r="D188" i="42" s="1"/>
  <c r="M4" i="15"/>
  <c r="A18" i="22"/>
  <c r="A20" i="25"/>
  <c r="A19" i="24"/>
  <c r="B20" i="4"/>
  <c r="A18" i="23"/>
  <c r="B20" i="3"/>
  <c r="A22" i="18"/>
  <c r="D211" i="42" l="1"/>
  <c r="D212" i="42"/>
  <c r="C207" i="42"/>
  <c r="C206" i="42"/>
  <c r="L26" i="17"/>
  <c r="C39" i="44"/>
  <c r="A22" i="12"/>
  <c r="A44" i="12"/>
  <c r="A31" i="1"/>
  <c r="I33" i="1"/>
  <c r="A19" i="2"/>
  <c r="B38" i="18"/>
  <c r="A40" i="5"/>
  <c r="M4" i="14"/>
  <c r="M26" i="14" s="1"/>
  <c r="O7" i="36"/>
  <c r="N6" i="36"/>
  <c r="A19" i="10"/>
  <c r="A20" i="11"/>
  <c r="A23" i="13"/>
  <c r="N111" i="36"/>
  <c r="O112" i="36"/>
  <c r="L4" i="20"/>
  <c r="L4" i="21"/>
  <c r="L31" i="21" s="1"/>
  <c r="D187" i="42" s="1"/>
  <c r="L4" i="19"/>
  <c r="B25" i="26"/>
  <c r="B25" i="27" s="1"/>
  <c r="N4" i="15"/>
  <c r="M31" i="15"/>
  <c r="M57" i="15" s="1"/>
  <c r="E188" i="42" s="1"/>
  <c r="A20" i="24"/>
  <c r="A19" i="22"/>
  <c r="A21" i="25"/>
  <c r="A19" i="23"/>
  <c r="B21" i="4"/>
  <c r="A23" i="18"/>
  <c r="B21" i="3"/>
  <c r="E211" i="42" l="1"/>
  <c r="E212" i="42"/>
  <c r="D206" i="42"/>
  <c r="D207" i="42"/>
  <c r="A24" i="18"/>
  <c r="M26" i="17"/>
  <c r="A21" i="12"/>
  <c r="A43" i="12"/>
  <c r="B37" i="18"/>
  <c r="I32" i="1"/>
  <c r="A18" i="2"/>
  <c r="A30" i="1"/>
  <c r="N4" i="14"/>
  <c r="N26" i="14" s="1"/>
  <c r="A41" i="5"/>
  <c r="A42" i="5" s="1"/>
  <c r="A43" i="5" s="1"/>
  <c r="A44" i="5" s="1"/>
  <c r="A45" i="5" s="1"/>
  <c r="A46" i="5" s="1"/>
  <c r="N7" i="36"/>
  <c r="O8" i="36"/>
  <c r="A18" i="10"/>
  <c r="A19" i="11"/>
  <c r="A22" i="13"/>
  <c r="O113" i="36"/>
  <c r="N112" i="36"/>
  <c r="M4" i="21"/>
  <c r="M31" i="21" s="1"/>
  <c r="E187" i="42" s="1"/>
  <c r="M4" i="20"/>
  <c r="M4" i="19"/>
  <c r="B26" i="26"/>
  <c r="B26" i="27" s="1"/>
  <c r="N31" i="15"/>
  <c r="N57" i="15" s="1"/>
  <c r="F188" i="42" s="1"/>
  <c r="O4" i="15"/>
  <c r="A21" i="24"/>
  <c r="A22" i="25"/>
  <c r="A20" i="23"/>
  <c r="A20" i="22"/>
  <c r="B22" i="4"/>
  <c r="B22" i="3"/>
  <c r="F211" i="42" l="1"/>
  <c r="F212" i="42"/>
  <c r="E206" i="42"/>
  <c r="E207" i="42"/>
  <c r="A25" i="18"/>
  <c r="N26" i="17"/>
  <c r="A20" i="12"/>
  <c r="A42" i="12"/>
  <c r="I31" i="1"/>
  <c r="O4" i="14"/>
  <c r="O26" i="14" s="1"/>
  <c r="B36" i="18"/>
  <c r="A29" i="1"/>
  <c r="A17" i="2"/>
  <c r="N8" i="36"/>
  <c r="O9" i="36"/>
  <c r="A17" i="10"/>
  <c r="A21" i="13"/>
  <c r="A18" i="11"/>
  <c r="N113" i="36"/>
  <c r="O114" i="36"/>
  <c r="N4" i="20"/>
  <c r="N4" i="21"/>
  <c r="N31" i="21" s="1"/>
  <c r="F187" i="42" s="1"/>
  <c r="N4" i="19"/>
  <c r="B27" i="26"/>
  <c r="B27" i="27" s="1"/>
  <c r="O31" i="15"/>
  <c r="O57" i="15" s="1"/>
  <c r="G188" i="42" s="1"/>
  <c r="P4" i="15"/>
  <c r="A23" i="25"/>
  <c r="A21" i="22"/>
  <c r="A21" i="23"/>
  <c r="B23" i="4"/>
  <c r="A22" i="24"/>
  <c r="B23" i="3"/>
  <c r="G211" i="42" l="1"/>
  <c r="G212" i="42"/>
  <c r="F206" i="42"/>
  <c r="F207" i="42"/>
  <c r="A26" i="18"/>
  <c r="O26" i="17"/>
  <c r="P4" i="14"/>
  <c r="P26" i="14" s="1"/>
  <c r="A19" i="12"/>
  <c r="A41" i="12"/>
  <c r="B35" i="18"/>
  <c r="A28" i="1"/>
  <c r="I30" i="1"/>
  <c r="A16" i="2"/>
  <c r="N9" i="36"/>
  <c r="O10" i="36"/>
  <c r="A16" i="10"/>
  <c r="A17" i="11"/>
  <c r="A20" i="13"/>
  <c r="O115" i="36"/>
  <c r="N114" i="36"/>
  <c r="O4" i="21"/>
  <c r="O31" i="21" s="1"/>
  <c r="G187" i="42" s="1"/>
  <c r="O4" i="20"/>
  <c r="O4" i="19"/>
  <c r="B28" i="26"/>
  <c r="B28" i="27" s="1"/>
  <c r="P31" i="15"/>
  <c r="P57" i="15" s="1"/>
  <c r="H188" i="42" s="1"/>
  <c r="Q4" i="15"/>
  <c r="B24" i="4"/>
  <c r="A22" i="22"/>
  <c r="A23" i="24"/>
  <c r="A24" i="25"/>
  <c r="A22" i="23"/>
  <c r="B24" i="3"/>
  <c r="H211" i="42" l="1"/>
  <c r="H212" i="42"/>
  <c r="G207" i="42"/>
  <c r="G206" i="42"/>
  <c r="A27" i="18"/>
  <c r="D27" i="18" s="1"/>
  <c r="P26" i="17"/>
  <c r="Q4" i="14"/>
  <c r="Q26" i="14" s="1"/>
  <c r="A18" i="12"/>
  <c r="A40" i="12"/>
  <c r="I29" i="1"/>
  <c r="B34" i="18"/>
  <c r="A15" i="2"/>
  <c r="A27" i="1"/>
  <c r="A49" i="5"/>
  <c r="O11" i="36"/>
  <c r="N10" i="36"/>
  <c r="A15" i="10"/>
  <c r="A19" i="13"/>
  <c r="A16" i="11"/>
  <c r="N115" i="36"/>
  <c r="O116" i="36"/>
  <c r="P4" i="20"/>
  <c r="P4" i="21"/>
  <c r="P31" i="21" s="1"/>
  <c r="H187" i="42" s="1"/>
  <c r="P4" i="19"/>
  <c r="B29" i="26"/>
  <c r="B29" i="27" s="1"/>
  <c r="Q31" i="15"/>
  <c r="Q57" i="15" s="1"/>
  <c r="I188" i="42" s="1"/>
  <c r="R4" i="15"/>
  <c r="S4" i="15" s="1"/>
  <c r="T4" i="15" s="1"/>
  <c r="A23" i="23"/>
  <c r="A24" i="24"/>
  <c r="A25" i="25"/>
  <c r="A23" i="22"/>
  <c r="B25" i="4"/>
  <c r="B25" i="3"/>
  <c r="I211" i="42" l="1"/>
  <c r="I212" i="42"/>
  <c r="H206" i="42"/>
  <c r="H207" i="42"/>
  <c r="D25" i="18"/>
  <c r="D23" i="18"/>
  <c r="D24" i="18"/>
  <c r="D26" i="18"/>
  <c r="A28" i="18"/>
  <c r="Q26" i="17"/>
  <c r="A28" i="19"/>
  <c r="R4" i="14"/>
  <c r="A17" i="12"/>
  <c r="A39" i="12"/>
  <c r="U4" i="15"/>
  <c r="T31" i="15"/>
  <c r="T57" i="15" s="1"/>
  <c r="B33" i="18"/>
  <c r="A26" i="1"/>
  <c r="A14" i="2"/>
  <c r="I28" i="1"/>
  <c r="S31" i="15"/>
  <c r="A50" i="5"/>
  <c r="O12" i="36"/>
  <c r="N11" i="36"/>
  <c r="A14" i="10"/>
  <c r="A15" i="11"/>
  <c r="A18" i="13"/>
  <c r="O117" i="36"/>
  <c r="N116" i="36"/>
  <c r="Q4" i="21"/>
  <c r="Q4" i="20"/>
  <c r="Q4" i="19"/>
  <c r="B30" i="26"/>
  <c r="B30" i="27" s="1"/>
  <c r="R31" i="15"/>
  <c r="R57" i="15" s="1"/>
  <c r="J188" i="42" s="1"/>
  <c r="B26" i="4"/>
  <c r="A24" i="22"/>
  <c r="A25" i="24"/>
  <c r="A26" i="25"/>
  <c r="A24" i="23"/>
  <c r="B26" i="3"/>
  <c r="S57" i="15" l="1"/>
  <c r="K188" i="42" s="1"/>
  <c r="S4" i="14"/>
  <c r="R26" i="14"/>
  <c r="J211" i="42"/>
  <c r="J212" i="42"/>
  <c r="R4" i="21"/>
  <c r="Q31" i="21"/>
  <c r="I187" i="42" s="1"/>
  <c r="A29" i="18"/>
  <c r="R26" i="17"/>
  <c r="A27" i="19"/>
  <c r="A16" i="12"/>
  <c r="A38" i="12"/>
  <c r="V4" i="15"/>
  <c r="U31" i="15"/>
  <c r="U57" i="15" s="1"/>
  <c r="B32" i="18"/>
  <c r="A13" i="2"/>
  <c r="A25" i="1"/>
  <c r="I27" i="1"/>
  <c r="O13" i="36"/>
  <c r="N12" i="36"/>
  <c r="A13" i="10"/>
  <c r="A14" i="11"/>
  <c r="A15" i="12"/>
  <c r="A17" i="13"/>
  <c r="N117" i="36"/>
  <c r="O118" i="36"/>
  <c r="R4" i="20"/>
  <c r="R4" i="19"/>
  <c r="B31" i="26"/>
  <c r="B31" i="27" s="1"/>
  <c r="A25" i="23"/>
  <c r="B27" i="4"/>
  <c r="A27" i="25"/>
  <c r="A26" i="24"/>
  <c r="A25" i="22"/>
  <c r="B27" i="3"/>
  <c r="I206" i="42" l="1"/>
  <c r="I207" i="42"/>
  <c r="S4" i="21"/>
  <c r="R31" i="21"/>
  <c r="J187" i="42" s="1"/>
  <c r="K211" i="42"/>
  <c r="K212" i="42"/>
  <c r="A30" i="18"/>
  <c r="A26" i="19"/>
  <c r="A36" i="12"/>
  <c r="V31" i="15"/>
  <c r="V57" i="15" s="1"/>
  <c r="W4" i="15"/>
  <c r="A37" i="12"/>
  <c r="I26" i="1"/>
  <c r="B31" i="18"/>
  <c r="A24" i="1"/>
  <c r="A28" i="20"/>
  <c r="A12" i="2"/>
  <c r="S4" i="19"/>
  <c r="S4" i="20"/>
  <c r="O14" i="36"/>
  <c r="N13" i="36"/>
  <c r="A12" i="10"/>
  <c r="A16" i="13"/>
  <c r="A14" i="12"/>
  <c r="A13" i="11"/>
  <c r="N118" i="36"/>
  <c r="O119" i="36"/>
  <c r="B32" i="26"/>
  <c r="B32" i="27" s="1"/>
  <c r="A27" i="24"/>
  <c r="A26" i="22"/>
  <c r="A28" i="25"/>
  <c r="A26" i="23"/>
  <c r="B28" i="4"/>
  <c r="B28" i="3"/>
  <c r="J206" i="42" l="1"/>
  <c r="J207" i="42"/>
  <c r="T4" i="21"/>
  <c r="S31" i="21"/>
  <c r="K187" i="42" s="1"/>
  <c r="A31" i="18"/>
  <c r="A25" i="19"/>
  <c r="X4" i="15"/>
  <c r="X31" i="15" s="1"/>
  <c r="A27" i="20"/>
  <c r="A26" i="20" s="1"/>
  <c r="W31" i="15"/>
  <c r="W57" i="15" s="1"/>
  <c r="A35" i="12"/>
  <c r="B30" i="18"/>
  <c r="A23" i="1"/>
  <c r="A11" i="2"/>
  <c r="A28" i="21"/>
  <c r="I25" i="1"/>
  <c r="T4" i="20"/>
  <c r="U4" i="20" s="1"/>
  <c r="T4" i="19"/>
  <c r="N14" i="36"/>
  <c r="O15" i="36"/>
  <c r="A11" i="10"/>
  <c r="A13" i="12"/>
  <c r="A15" i="13"/>
  <c r="A12" i="11"/>
  <c r="N119" i="36"/>
  <c r="O120" i="36"/>
  <c r="B33" i="26"/>
  <c r="B33" i="27" s="1"/>
  <c r="A27" i="22"/>
  <c r="A29" i="25"/>
  <c r="A27" i="23"/>
  <c r="B29" i="4"/>
  <c r="A28" i="24"/>
  <c r="B29" i="3"/>
  <c r="K206" i="42" l="1"/>
  <c r="K207" i="42"/>
  <c r="T31" i="21"/>
  <c r="U4" i="21"/>
  <c r="A32" i="18"/>
  <c r="A24" i="19"/>
  <c r="A27" i="21"/>
  <c r="A26" i="21" s="1"/>
  <c r="V4" i="20"/>
  <c r="A25" i="20"/>
  <c r="B29" i="18"/>
  <c r="I24" i="1"/>
  <c r="A28" i="15"/>
  <c r="A10" i="2"/>
  <c r="A22" i="1"/>
  <c r="U4" i="19"/>
  <c r="N15" i="36"/>
  <c r="O16" i="36"/>
  <c r="A10" i="10"/>
  <c r="A11" i="11"/>
  <c r="A14" i="13"/>
  <c r="A12" i="12"/>
  <c r="N120" i="36"/>
  <c r="O121" i="36"/>
  <c r="B34" i="26"/>
  <c r="B34" i="27" s="1"/>
  <c r="B30" i="4"/>
  <c r="A29" i="24"/>
  <c r="A28" i="23"/>
  <c r="A28" i="22"/>
  <c r="A30" i="25"/>
  <c r="B30" i="3"/>
  <c r="U31" i="21" l="1"/>
  <c r="V4" i="21"/>
  <c r="A33" i="18"/>
  <c r="V4" i="19"/>
  <c r="A27" i="15"/>
  <c r="W4" i="20"/>
  <c r="A25" i="21"/>
  <c r="A24" i="20"/>
  <c r="A23" i="19"/>
  <c r="B28" i="18"/>
  <c r="A21" i="1"/>
  <c r="A9" i="2"/>
  <c r="I23" i="1"/>
  <c r="A55" i="15"/>
  <c r="O17" i="36"/>
  <c r="N16" i="36"/>
  <c r="A9" i="10"/>
  <c r="A13" i="13"/>
  <c r="A10" i="11"/>
  <c r="A11" i="12"/>
  <c r="N121" i="36"/>
  <c r="O122" i="36"/>
  <c r="B35" i="26"/>
  <c r="B35" i="27" s="1"/>
  <c r="A29" i="23"/>
  <c r="A29" i="22"/>
  <c r="A30" i="24"/>
  <c r="B31" i="4"/>
  <c r="A31" i="25"/>
  <c r="B31" i="3"/>
  <c r="V31" i="21" l="1"/>
  <c r="W4" i="21"/>
  <c r="A34" i="18"/>
  <c r="A26" i="15"/>
  <c r="W4" i="19"/>
  <c r="X4" i="19" s="1"/>
  <c r="A53" i="15"/>
  <c r="A54" i="15"/>
  <c r="A25" i="15"/>
  <c r="A24" i="21"/>
  <c r="A23" i="20"/>
  <c r="B27" i="18"/>
  <c r="A8" i="2"/>
  <c r="A22" i="19"/>
  <c r="A20" i="1"/>
  <c r="I22" i="1"/>
  <c r="X4" i="20"/>
  <c r="N17" i="36"/>
  <c r="O18" i="36"/>
  <c r="A8" i="10"/>
  <c r="A10" i="12"/>
  <c r="A12" i="13"/>
  <c r="A9" i="11"/>
  <c r="N122" i="36"/>
  <c r="O123" i="36"/>
  <c r="B36" i="26"/>
  <c r="B36" i="27" s="1"/>
  <c r="A32" i="25"/>
  <c r="A31" i="24"/>
  <c r="B32" i="4"/>
  <c r="A30" i="23"/>
  <c r="A30" i="22"/>
  <c r="B32" i="3"/>
  <c r="W31" i="21" l="1"/>
  <c r="X4" i="21"/>
  <c r="A35" i="18"/>
  <c r="A52" i="15"/>
  <c r="A24" i="15"/>
  <c r="A23" i="21"/>
  <c r="A22" i="20"/>
  <c r="I21" i="1"/>
  <c r="A7" i="2"/>
  <c r="B26" i="18"/>
  <c r="A19" i="1"/>
  <c r="A21" i="19"/>
  <c r="O19" i="36"/>
  <c r="N18" i="36"/>
  <c r="A7" i="10"/>
  <c r="A8" i="11"/>
  <c r="A9" i="12"/>
  <c r="A11" i="13"/>
  <c r="N123" i="36"/>
  <c r="O124" i="36"/>
  <c r="B37" i="26"/>
  <c r="B37" i="27" s="1"/>
  <c r="B33" i="4"/>
  <c r="A32" i="24"/>
  <c r="A31" i="22"/>
  <c r="A31" i="23"/>
  <c r="A33" i="25"/>
  <c r="B33" i="3"/>
  <c r="A36" i="18" l="1"/>
  <c r="A51" i="15"/>
  <c r="A23" i="15"/>
  <c r="A22" i="21"/>
  <c r="A21" i="20"/>
  <c r="A18" i="1"/>
  <c r="I20" i="1"/>
  <c r="B25" i="18"/>
  <c r="A20" i="19"/>
  <c r="A6" i="2"/>
  <c r="N19" i="36"/>
  <c r="O20" i="36"/>
  <c r="A6" i="10"/>
  <c r="A7" i="11"/>
  <c r="A8" i="12"/>
  <c r="A10" i="13"/>
  <c r="N124" i="36"/>
  <c r="O125" i="36"/>
  <c r="B38" i="26"/>
  <c r="B34" i="4"/>
  <c r="A33" i="24"/>
  <c r="A32" i="22"/>
  <c r="A34" i="25"/>
  <c r="A32" i="23"/>
  <c r="B34" i="3"/>
  <c r="A37" i="18" l="1"/>
  <c r="A50" i="15"/>
  <c r="A23" i="14"/>
  <c r="B39" i="26"/>
  <c r="B38" i="27"/>
  <c r="A22" i="15"/>
  <c r="A21" i="21"/>
  <c r="A20" i="20"/>
  <c r="B24" i="18"/>
  <c r="A19" i="19"/>
  <c r="A5" i="2"/>
  <c r="I19" i="1"/>
  <c r="A17" i="1"/>
  <c r="O21" i="36"/>
  <c r="N20" i="36"/>
  <c r="A5" i="10"/>
  <c r="A6" i="11"/>
  <c r="A9" i="13"/>
  <c r="A7" i="12"/>
  <c r="N125" i="36"/>
  <c r="O126" i="36"/>
  <c r="O127" i="36" s="1"/>
  <c r="A34" i="24"/>
  <c r="A35" i="25"/>
  <c r="B35" i="4"/>
  <c r="A33" i="23"/>
  <c r="A33" i="22"/>
  <c r="B35" i="3"/>
  <c r="A38" i="18" l="1"/>
  <c r="B39" i="27"/>
  <c r="B40" i="26"/>
  <c r="B41" i="26" s="1"/>
  <c r="A49" i="15"/>
  <c r="A22" i="14"/>
  <c r="B40" i="27"/>
  <c r="A21" i="15"/>
  <c r="A20" i="21"/>
  <c r="A19" i="20"/>
  <c r="I18" i="1"/>
  <c r="A18" i="19"/>
  <c r="B23" i="18"/>
  <c r="A16" i="1"/>
  <c r="O128" i="36"/>
  <c r="N127" i="36"/>
  <c r="O22" i="36"/>
  <c r="N21" i="36"/>
  <c r="A6" i="12"/>
  <c r="A8" i="13"/>
  <c r="A5" i="11"/>
  <c r="N126" i="36"/>
  <c r="A34" i="23"/>
  <c r="B36" i="4"/>
  <c r="A34" i="22"/>
  <c r="A36" i="25"/>
  <c r="A35" i="24"/>
  <c r="B36" i="3"/>
  <c r="B37" i="3" s="1"/>
  <c r="B38" i="3" s="1"/>
  <c r="B39" i="3" s="1"/>
  <c r="B40" i="3" s="1"/>
  <c r="B41" i="3" s="1"/>
  <c r="B42" i="3" s="1"/>
  <c r="B43" i="3" s="1"/>
  <c r="B44" i="3" s="1"/>
  <c r="B45" i="3" s="1"/>
  <c r="A39" i="18" l="1"/>
  <c r="B42" i="26"/>
  <c r="B41" i="27"/>
  <c r="A48" i="15"/>
  <c r="A21" i="14"/>
  <c r="A19" i="21"/>
  <c r="A18" i="20"/>
  <c r="B22" i="18"/>
  <c r="A17" i="19"/>
  <c r="A20" i="15"/>
  <c r="I17" i="1"/>
  <c r="A15" i="1"/>
  <c r="O129" i="36"/>
  <c r="N128" i="36"/>
  <c r="O23" i="36"/>
  <c r="N22" i="36"/>
  <c r="A7" i="13"/>
  <c r="A5" i="12"/>
  <c r="A35" i="23"/>
  <c r="A37" i="25"/>
  <c r="A35" i="22"/>
  <c r="A36" i="24"/>
  <c r="B37" i="4"/>
  <c r="A40" i="18" l="1"/>
  <c r="B43" i="26"/>
  <c r="B42" i="27"/>
  <c r="A47" i="15"/>
  <c r="A20" i="14"/>
  <c r="A17" i="20"/>
  <c r="A18" i="21"/>
  <c r="B21" i="18"/>
  <c r="A19" i="15"/>
  <c r="A16" i="19"/>
  <c r="I16" i="1"/>
  <c r="A14" i="1"/>
  <c r="O130" i="36"/>
  <c r="O131" i="36" s="1"/>
  <c r="N129" i="36"/>
  <c r="N23" i="36"/>
  <c r="O24" i="36"/>
  <c r="A6" i="13"/>
  <c r="B38" i="4"/>
  <c r="A38" i="24" s="1"/>
  <c r="A37" i="24"/>
  <c r="A38" i="25"/>
  <c r="A36" i="23"/>
  <c r="A36" i="22"/>
  <c r="O132" i="36" l="1"/>
  <c r="N131" i="36"/>
  <c r="A41" i="18"/>
  <c r="B43" i="27"/>
  <c r="A46" i="15"/>
  <c r="A19" i="14"/>
  <c r="A16" i="20"/>
  <c r="B20" i="18"/>
  <c r="A17" i="21"/>
  <c r="A15" i="19"/>
  <c r="I15" i="1"/>
  <c r="A18" i="15"/>
  <c r="A13" i="1"/>
  <c r="N130" i="36"/>
  <c r="O25" i="36"/>
  <c r="N24" i="36"/>
  <c r="A5" i="13"/>
  <c r="A39" i="25"/>
  <c r="A37" i="23"/>
  <c r="A37" i="22"/>
  <c r="B39" i="4"/>
  <c r="A39" i="24" s="1"/>
  <c r="O133" i="36" l="1"/>
  <c r="N132" i="36"/>
  <c r="A42" i="18"/>
  <c r="A45" i="15"/>
  <c r="A18" i="14"/>
  <c r="A15" i="20"/>
  <c r="B19" i="18"/>
  <c r="A12" i="1"/>
  <c r="A17" i="15"/>
  <c r="A16" i="21"/>
  <c r="I14" i="1"/>
  <c r="A14" i="19"/>
  <c r="N25" i="36"/>
  <c r="O26" i="36"/>
  <c r="A40" i="25"/>
  <c r="A38" i="22"/>
  <c r="A38" i="23"/>
  <c r="B40" i="4"/>
  <c r="A40" i="24" s="1"/>
  <c r="N133" i="36" l="1"/>
  <c r="O134" i="36"/>
  <c r="A43" i="18"/>
  <c r="A44" i="15"/>
  <c r="A17" i="14"/>
  <c r="A14" i="20"/>
  <c r="I13" i="1"/>
  <c r="A15" i="21"/>
  <c r="A16" i="15"/>
  <c r="A11" i="1"/>
  <c r="A13" i="19"/>
  <c r="B18" i="18"/>
  <c r="A41" i="25"/>
  <c r="B41" i="4"/>
  <c r="O27" i="36"/>
  <c r="N26" i="36"/>
  <c r="A39" i="22"/>
  <c r="A39" i="23"/>
  <c r="O135" i="36" l="1"/>
  <c r="N134" i="36"/>
  <c r="A41" i="24"/>
  <c r="B42" i="4"/>
  <c r="A43" i="25" s="1"/>
  <c r="A44" i="18"/>
  <c r="A43" i="15"/>
  <c r="A16" i="14"/>
  <c r="A13" i="20"/>
  <c r="I12" i="1"/>
  <c r="B17" i="18"/>
  <c r="A14" i="21"/>
  <c r="A10" i="1"/>
  <c r="A12" i="19"/>
  <c r="A15" i="15"/>
  <c r="A42" i="25"/>
  <c r="A40" i="23"/>
  <c r="A40" i="22"/>
  <c r="A41" i="23"/>
  <c r="O28" i="36"/>
  <c r="N27" i="36"/>
  <c r="N135" i="36" l="1"/>
  <c r="O136" i="36"/>
  <c r="B43" i="4"/>
  <c r="A41" i="22"/>
  <c r="A42" i="24"/>
  <c r="A45" i="18"/>
  <c r="A42" i="15"/>
  <c r="A15" i="14"/>
  <c r="A14" i="14" s="1"/>
  <c r="A42" i="23"/>
  <c r="A44" i="25"/>
  <c r="A12" i="20"/>
  <c r="I11" i="1"/>
  <c r="A9" i="1"/>
  <c r="B16" i="18"/>
  <c r="A13" i="21"/>
  <c r="A14" i="15"/>
  <c r="A11" i="19"/>
  <c r="O29" i="36"/>
  <c r="N28" i="36"/>
  <c r="N136" i="36" l="1"/>
  <c r="O137" i="36"/>
  <c r="B44" i="4"/>
  <c r="A42" i="22"/>
  <c r="A43" i="24"/>
  <c r="A46" i="18"/>
  <c r="A41" i="15"/>
  <c r="A11" i="20"/>
  <c r="B15" i="18"/>
  <c r="A12" i="21"/>
  <c r="I10" i="1"/>
  <c r="A10" i="19"/>
  <c r="A13" i="15"/>
  <c r="A8" i="1"/>
  <c r="A47" i="22"/>
  <c r="O30" i="36"/>
  <c r="N29" i="36"/>
  <c r="A13" i="14"/>
  <c r="O138" i="36" l="1"/>
  <c r="N137" i="36"/>
  <c r="B45" i="4"/>
  <c r="A45" i="25"/>
  <c r="A43" i="23"/>
  <c r="A43" i="22"/>
  <c r="A44" i="24"/>
  <c r="D42" i="22"/>
  <c r="A47" i="18"/>
  <c r="A40" i="15"/>
  <c r="A10" i="20"/>
  <c r="A11" i="21"/>
  <c r="I9" i="1"/>
  <c r="B14" i="18"/>
  <c r="A7" i="1"/>
  <c r="A6" i="1" s="1"/>
  <c r="A12" i="15"/>
  <c r="A9" i="19"/>
  <c r="A47" i="23"/>
  <c r="A48" i="24"/>
  <c r="N30" i="36"/>
  <c r="O31" i="36"/>
  <c r="A12" i="14"/>
  <c r="N138" i="36" l="1"/>
  <c r="O139" i="36"/>
  <c r="D43" i="22"/>
  <c r="L43" i="22"/>
  <c r="B46" i="4"/>
  <c r="A45" i="24"/>
  <c r="A44" i="23"/>
  <c r="A46" i="25"/>
  <c r="A44" i="22"/>
  <c r="D47" i="18"/>
  <c r="D28" i="18"/>
  <c r="D29" i="18"/>
  <c r="D30" i="18"/>
  <c r="D31" i="18"/>
  <c r="D32" i="18"/>
  <c r="D33" i="18"/>
  <c r="D34" i="18"/>
  <c r="D36" i="18"/>
  <c r="D35" i="18"/>
  <c r="D37" i="18"/>
  <c r="D38" i="18"/>
  <c r="D39" i="18"/>
  <c r="D40" i="18"/>
  <c r="D41" i="18"/>
  <c r="D42" i="18"/>
  <c r="D43" i="18"/>
  <c r="D45" i="18"/>
  <c r="D46" i="18"/>
  <c r="D44" i="18"/>
  <c r="A39" i="15"/>
  <c r="A9" i="20"/>
  <c r="B13" i="18"/>
  <c r="A10" i="21"/>
  <c r="I8" i="1"/>
  <c r="A8" i="19"/>
  <c r="A11" i="15"/>
  <c r="N31" i="36"/>
  <c r="O32" i="36"/>
  <c r="A11" i="14"/>
  <c r="O140" i="36" l="1"/>
  <c r="N139" i="36"/>
  <c r="B47" i="4"/>
  <c r="A45" i="22"/>
  <c r="A46" i="24"/>
  <c r="A45" i="23"/>
  <c r="D44" i="22"/>
  <c r="L44" i="22"/>
  <c r="A38" i="15"/>
  <c r="A8" i="20"/>
  <c r="B12" i="18"/>
  <c r="I7" i="1"/>
  <c r="A7" i="19"/>
  <c r="A9" i="21"/>
  <c r="A10" i="15"/>
  <c r="O33" i="36"/>
  <c r="N32" i="36"/>
  <c r="A10" i="14"/>
  <c r="O141" i="36" l="1"/>
  <c r="N140" i="36"/>
  <c r="E48" i="24"/>
  <c r="D45" i="22"/>
  <c r="L45" i="22"/>
  <c r="A46" i="22"/>
  <c r="A47" i="24"/>
  <c r="A46" i="23"/>
  <c r="A37" i="15"/>
  <c r="B11" i="18"/>
  <c r="A8" i="21"/>
  <c r="A7" i="20"/>
  <c r="I6" i="1"/>
  <c r="A9" i="15"/>
  <c r="A6" i="19"/>
  <c r="A9" i="14"/>
  <c r="O34" i="36"/>
  <c r="N33" i="36"/>
  <c r="N141" i="36" l="1"/>
  <c r="O142" i="36"/>
  <c r="L46" i="22"/>
  <c r="D46" i="22"/>
  <c r="A36" i="15"/>
  <c r="A8" i="15"/>
  <c r="A6" i="20"/>
  <c r="A7" i="21"/>
  <c r="A5" i="19"/>
  <c r="A8" i="14"/>
  <c r="O35" i="36"/>
  <c r="N34" i="36"/>
  <c r="N142" i="36" l="1"/>
  <c r="O143" i="36"/>
  <c r="A35" i="15"/>
  <c r="A5" i="20"/>
  <c r="A7" i="15"/>
  <c r="A6" i="21"/>
  <c r="A7" i="14"/>
  <c r="N35" i="36"/>
  <c r="O36" i="36"/>
  <c r="N143" i="36" l="1"/>
  <c r="O144" i="36"/>
  <c r="A34" i="15"/>
  <c r="A6" i="15"/>
  <c r="A5" i="21"/>
  <c r="A6" i="14"/>
  <c r="N36" i="36"/>
  <c r="O37" i="36"/>
  <c r="N144" i="36" l="1"/>
  <c r="O145" i="36"/>
  <c r="A33" i="15"/>
  <c r="A5" i="15"/>
  <c r="A5" i="14"/>
  <c r="N37" i="36"/>
  <c r="O38" i="36"/>
  <c r="O146" i="36" l="1"/>
  <c r="N145" i="36"/>
  <c r="A32" i="15"/>
  <c r="O39" i="36"/>
  <c r="N38" i="36"/>
  <c r="N146" i="36" l="1"/>
  <c r="O147" i="36"/>
  <c r="N39" i="36"/>
  <c r="O40" i="36"/>
  <c r="N147" i="36" l="1"/>
  <c r="O148" i="36"/>
  <c r="N40" i="36"/>
  <c r="O41" i="36"/>
  <c r="N148" i="36" l="1"/>
  <c r="O149" i="36"/>
  <c r="O42" i="36"/>
  <c r="N41" i="36"/>
  <c r="O150" i="36" l="1"/>
  <c r="N149" i="36"/>
  <c r="O43" i="36"/>
  <c r="N42" i="36"/>
  <c r="N150" i="36" l="1"/>
  <c r="O151" i="36"/>
  <c r="N43" i="36"/>
  <c r="O44" i="36"/>
  <c r="N151" i="36" l="1"/>
  <c r="O152" i="36"/>
  <c r="N44" i="36"/>
  <c r="O45" i="36"/>
  <c r="N152" i="36" l="1"/>
  <c r="O153" i="36"/>
  <c r="N45" i="36"/>
  <c r="O46" i="36"/>
  <c r="O154" i="36" l="1"/>
  <c r="N153" i="36"/>
  <c r="N46" i="36"/>
  <c r="O47" i="36"/>
  <c r="O155" i="36" l="1"/>
  <c r="N154" i="36"/>
  <c r="O48" i="36"/>
  <c r="N47" i="36"/>
  <c r="O156" i="36" l="1"/>
  <c r="N156" i="36" s="1"/>
  <c r="N155" i="36"/>
  <c r="O49" i="36"/>
  <c r="N48" i="36"/>
  <c r="O50" i="36" l="1"/>
  <c r="N49" i="36"/>
  <c r="N50" i="36" l="1"/>
  <c r="O51" i="36"/>
  <c r="O52" i="36" l="1"/>
  <c r="N51" i="36"/>
  <c r="N52" i="36" l="1"/>
  <c r="O53" i="36"/>
  <c r="N53" i="36" l="1"/>
  <c r="O54" i="36"/>
  <c r="N54" i="36" l="1"/>
  <c r="O55" i="36"/>
  <c r="N55" i="36" l="1"/>
  <c r="O56" i="36"/>
  <c r="N56" i="36" l="1"/>
  <c r="O57" i="36"/>
  <c r="N57" i="36" l="1"/>
  <c r="O58" i="36"/>
  <c r="O59" i="36" l="1"/>
  <c r="N58" i="36"/>
  <c r="N59" i="36" l="1"/>
  <c r="O60" i="36"/>
  <c r="O61" i="36" l="1"/>
  <c r="N60" i="36"/>
  <c r="O62" i="36" l="1"/>
  <c r="N61" i="36"/>
  <c r="N62" i="36" l="1"/>
  <c r="O63" i="36"/>
  <c r="O64" i="36" l="1"/>
  <c r="N63" i="36"/>
  <c r="N64" i="36" l="1"/>
  <c r="O65" i="36"/>
  <c r="N65" i="36" l="1"/>
  <c r="O66" i="36"/>
  <c r="N66" i="36" l="1"/>
  <c r="O67" i="36"/>
  <c r="N67" i="36" l="1"/>
  <c r="O68" i="36"/>
  <c r="N68" i="36" l="1"/>
  <c r="O69" i="36"/>
  <c r="N69" i="36" l="1"/>
  <c r="O70" i="36"/>
  <c r="N70" i="36" l="1"/>
  <c r="O71" i="36"/>
  <c r="N71" i="36" l="1"/>
  <c r="O72" i="36"/>
  <c r="N72" i="36" l="1"/>
  <c r="O73" i="36"/>
  <c r="O74" i="36" l="1"/>
  <c r="N73" i="36"/>
  <c r="N74" i="36" l="1"/>
  <c r="O75" i="36"/>
  <c r="N75" i="36" l="1"/>
  <c r="O76" i="36"/>
  <c r="O77" i="36" l="1"/>
  <c r="N76" i="36"/>
  <c r="N77" i="36" l="1"/>
  <c r="O78" i="36"/>
  <c r="N78" i="36" l="1"/>
  <c r="O79" i="36"/>
  <c r="N79" i="36" l="1"/>
  <c r="O80" i="36"/>
  <c r="N80" i="36" l="1"/>
  <c r="O81" i="36"/>
  <c r="O82" i="36" l="1"/>
  <c r="N81" i="36"/>
  <c r="O83" i="36" l="1"/>
  <c r="N82" i="36"/>
  <c r="N83" i="36" l="1"/>
  <c r="O84" i="36"/>
  <c r="O85" i="36" l="1"/>
  <c r="N84" i="36"/>
  <c r="O86" i="36" l="1"/>
  <c r="N85" i="36"/>
  <c r="N86" i="36" l="1"/>
  <c r="O87" i="36"/>
  <c r="N87" i="36" l="1"/>
  <c r="O88" i="36"/>
  <c r="O89" i="36" l="1"/>
  <c r="N88" i="36"/>
  <c r="O90" i="36" l="1"/>
  <c r="N89" i="36"/>
  <c r="N90" i="36" l="1"/>
  <c r="O91" i="36"/>
  <c r="O92" i="36" l="1"/>
  <c r="N91" i="36"/>
  <c r="N92" i="36" l="1"/>
  <c r="O93" i="36"/>
  <c r="O94" i="36" l="1"/>
  <c r="N93" i="36"/>
  <c r="N94" i="36" l="1"/>
  <c r="D25" i="22" l="1"/>
  <c r="L26" i="22"/>
  <c r="D22" i="22"/>
  <c r="D11" i="22"/>
  <c r="D14" i="22"/>
  <c r="D13" i="22"/>
  <c r="D41" i="22"/>
  <c r="D18" i="22"/>
  <c r="L23" i="22"/>
  <c r="L33" i="22"/>
  <c r="D32" i="22"/>
  <c r="D37" i="22"/>
  <c r="D20" i="22"/>
  <c r="D38" i="22"/>
  <c r="D17" i="22"/>
  <c r="D27" i="22"/>
  <c r="D9" i="22"/>
  <c r="D29" i="22"/>
  <c r="D34" i="22"/>
  <c r="D39" i="22"/>
  <c r="D10" i="22"/>
  <c r="D15" i="22"/>
  <c r="D33" i="22"/>
  <c r="D23" i="22"/>
  <c r="D8" i="22"/>
  <c r="D24" i="22"/>
  <c r="D36" i="22"/>
  <c r="D40" i="22"/>
  <c r="D12" i="22"/>
  <c r="D26" i="22"/>
  <c r="D31" i="22"/>
  <c r="D28" i="22"/>
  <c r="D35" i="22"/>
  <c r="D19" i="22"/>
  <c r="D30" i="22"/>
  <c r="D16" i="22"/>
  <c r="D21" i="22"/>
  <c r="C24" i="24" l="1"/>
  <c r="C46" i="24"/>
  <c r="C47" i="24"/>
  <c r="C44" i="24"/>
  <c r="C45" i="24"/>
  <c r="C27" i="24"/>
  <c r="L11" i="22"/>
  <c r="C12" i="24" s="1"/>
  <c r="L14" i="22"/>
  <c r="C15" i="24" s="1"/>
  <c r="L31" i="22"/>
  <c r="C32" i="24" s="1"/>
  <c r="L19" i="22"/>
  <c r="C20" i="24" s="1"/>
  <c r="L30" i="22"/>
  <c r="C31" i="24" s="1"/>
  <c r="L39" i="22"/>
  <c r="C40" i="24" s="1"/>
  <c r="L10" i="22"/>
  <c r="C11" i="24" s="1"/>
  <c r="L27" i="22"/>
  <c r="C28" i="24" s="1"/>
  <c r="L28" i="22"/>
  <c r="C29" i="24" s="1"/>
  <c r="C34" i="24"/>
  <c r="L18" i="22"/>
  <c r="C19" i="24" s="1"/>
  <c r="L20" i="22"/>
  <c r="C21" i="24" s="1"/>
  <c r="L38" i="22"/>
  <c r="C39" i="24" s="1"/>
  <c r="L12" i="22"/>
  <c r="C13" i="24" s="1"/>
  <c r="L25" i="22"/>
  <c r="C26" i="24" s="1"/>
  <c r="L21" i="22"/>
  <c r="C22" i="24" s="1"/>
  <c r="L24" i="22"/>
  <c r="C25" i="24" s="1"/>
  <c r="L16" i="22"/>
  <c r="C17" i="24" s="1"/>
  <c r="L35" i="22"/>
  <c r="C36" i="24" s="1"/>
  <c r="L36" i="22"/>
  <c r="C37" i="24" s="1"/>
  <c r="L29" i="22"/>
  <c r="C30" i="24" s="1"/>
  <c r="L17" i="22"/>
  <c r="C18" i="24" s="1"/>
  <c r="L8" i="22"/>
  <c r="C9" i="24" s="1"/>
  <c r="L22" i="22"/>
  <c r="C23" i="24" s="1"/>
  <c r="L32" i="22"/>
  <c r="C33" i="24" s="1"/>
  <c r="L13" i="22"/>
  <c r="C14" i="24" s="1"/>
  <c r="L15" i="22"/>
  <c r="C16" i="24" s="1"/>
  <c r="L9" i="22"/>
  <c r="C10" i="24" s="1"/>
  <c r="L37" i="22"/>
  <c r="C38" i="24" s="1"/>
  <c r="L47" i="29" l="1"/>
  <c r="N47" i="29" s="1"/>
  <c r="N47" i="7"/>
  <c r="L40" i="22" l="1"/>
  <c r="C41" i="24" s="1"/>
  <c r="L41" i="22"/>
  <c r="C42" i="24" s="1"/>
  <c r="B44" i="44" l="1"/>
  <c r="B47" i="44"/>
  <c r="B44" i="18"/>
  <c r="B47" i="18"/>
  <c r="I42" i="1"/>
  <c r="I39" i="1"/>
  <c r="C47" i="44" l="1"/>
  <c r="C44" i="44"/>
  <c r="D47" i="22"/>
  <c r="L42" i="22" l="1"/>
  <c r="C43" i="24" s="1"/>
  <c r="L47" i="22" l="1"/>
  <c r="C48" i="24" s="1"/>
  <c r="G48" i="24" s="1"/>
  <c r="B46" i="44" l="1"/>
  <c r="B46" i="18"/>
  <c r="I41" i="1"/>
  <c r="C46" i="44" l="1"/>
  <c r="B45" i="44" l="1"/>
  <c r="B45" i="18"/>
  <c r="I40" i="1"/>
  <c r="C45" i="44" l="1"/>
  <c r="C46" i="25" l="1"/>
  <c r="L34" i="22" l="1"/>
  <c r="C35" i="24" s="1"/>
  <c r="I19" i="25" l="1"/>
  <c r="I20" i="25" l="1"/>
  <c r="I21" i="25" l="1"/>
  <c r="I22" i="25" l="1"/>
  <c r="I23" i="25" l="1"/>
  <c r="I24" i="25" l="1"/>
  <c r="I25" i="25" l="1"/>
  <c r="I26" i="25" l="1"/>
  <c r="I27" i="25" l="1"/>
  <c r="I28" i="25" l="1"/>
  <c r="I29" i="25" l="1"/>
  <c r="I30" i="25" l="1"/>
  <c r="I31" i="25" l="1"/>
  <c r="I32" i="25" l="1"/>
  <c r="I33" i="25"/>
  <c r="I34" i="25" l="1"/>
  <c r="I35" i="25" l="1"/>
  <c r="I36" i="25"/>
  <c r="I37" i="25" l="1"/>
  <c r="I38" i="25"/>
  <c r="I42" i="25" l="1"/>
  <c r="I41" i="25"/>
  <c r="I39" i="25"/>
  <c r="I40" i="25" l="1"/>
  <c r="I43" i="25"/>
  <c r="I46" i="25" l="1"/>
  <c r="S46" i="25" s="1"/>
  <c r="G45" i="29" l="1"/>
  <c r="G45" i="7"/>
  <c r="I45" i="25" l="1"/>
  <c r="I44" i="25" l="1"/>
  <c r="G46" i="23" l="1"/>
  <c r="G45" i="23" l="1"/>
  <c r="C45" i="25" l="1"/>
  <c r="S45" i="25" s="1"/>
  <c r="G44" i="29" l="1"/>
  <c r="G44" i="7"/>
  <c r="C44" i="25"/>
  <c r="S44" i="25" s="1"/>
  <c r="G43" i="7" l="1"/>
  <c r="G43" i="29"/>
  <c r="C43" i="25"/>
  <c r="S43" i="25" s="1"/>
  <c r="G42" i="29" l="1"/>
  <c r="G42" i="7"/>
  <c r="C42" i="25"/>
  <c r="S42" i="25" s="1"/>
  <c r="G41" i="7" l="1"/>
  <c r="G41" i="29"/>
  <c r="C41" i="25"/>
  <c r="S41" i="25" s="1"/>
  <c r="C40" i="25"/>
  <c r="S40" i="25" s="1"/>
  <c r="G39" i="7" l="1"/>
  <c r="G39" i="29"/>
  <c r="G40" i="29"/>
  <c r="G40" i="7"/>
  <c r="C39" i="25"/>
  <c r="S39" i="25" s="1"/>
  <c r="G38" i="29" l="1"/>
  <c r="G38" i="7"/>
  <c r="C38" i="25"/>
  <c r="S38" i="25" s="1"/>
  <c r="G37" i="7" l="1"/>
  <c r="G37" i="29"/>
  <c r="C37" i="25"/>
  <c r="S37" i="25" s="1"/>
  <c r="G36" i="7" l="1"/>
  <c r="G36" i="29"/>
  <c r="C36" i="25"/>
  <c r="S36" i="25" s="1"/>
  <c r="G35" i="29" l="1"/>
  <c r="G35" i="7"/>
  <c r="C35" i="25"/>
  <c r="S35" i="25" s="1"/>
  <c r="G34" i="7" l="1"/>
  <c r="G34" i="29"/>
  <c r="C34" i="25"/>
  <c r="S34" i="25" s="1"/>
  <c r="G33" i="29" l="1"/>
  <c r="G33" i="7"/>
  <c r="C33" i="25"/>
  <c r="S33" i="25" s="1"/>
  <c r="G32" i="29" l="1"/>
  <c r="G32" i="7"/>
  <c r="C32" i="25"/>
  <c r="S32" i="25" s="1"/>
  <c r="G31" i="7" l="1"/>
  <c r="G31" i="29"/>
  <c r="C31" i="25"/>
  <c r="S31" i="25" s="1"/>
  <c r="G30" i="29" l="1"/>
  <c r="G30" i="7"/>
  <c r="C30" i="25"/>
  <c r="S30" i="25" s="1"/>
  <c r="G29" i="7" l="1"/>
  <c r="G29" i="29"/>
  <c r="C29" i="25"/>
  <c r="S29" i="25" s="1"/>
  <c r="G28" i="29" l="1"/>
  <c r="G28" i="7"/>
  <c r="C28" i="25"/>
  <c r="S28" i="25" s="1"/>
  <c r="G27" i="29" l="1"/>
  <c r="G27" i="7"/>
  <c r="C27" i="25"/>
  <c r="S27" i="25" s="1"/>
  <c r="G26" i="29" l="1"/>
  <c r="G26" i="7"/>
  <c r="C26" i="25"/>
  <c r="S26" i="25" s="1"/>
  <c r="G25" i="7" l="1"/>
  <c r="G25" i="29"/>
  <c r="C25" i="25"/>
  <c r="S25" i="25" s="1"/>
  <c r="G24" i="7" l="1"/>
  <c r="G24" i="29"/>
  <c r="C24" i="25"/>
  <c r="S24" i="25" s="1"/>
  <c r="G23" i="7" l="1"/>
  <c r="G23" i="29"/>
  <c r="C23" i="25"/>
  <c r="S23" i="25" s="1"/>
  <c r="G22" i="7" l="1"/>
  <c r="G22" i="29"/>
  <c r="C22" i="25"/>
  <c r="S22" i="25" s="1"/>
  <c r="G21" i="7" l="1"/>
  <c r="G21" i="29"/>
  <c r="C21" i="25"/>
  <c r="S21" i="25" s="1"/>
  <c r="G20" i="29" l="1"/>
  <c r="G20" i="7"/>
  <c r="C20" i="25"/>
  <c r="S20" i="25" s="1"/>
  <c r="G19" i="29" l="1"/>
  <c r="G19" i="7"/>
  <c r="C19" i="25"/>
  <c r="S19" i="25" s="1"/>
  <c r="G18" i="7" l="1"/>
  <c r="G18" i="29"/>
  <c r="C18" i="25"/>
  <c r="S18" i="25" s="1"/>
  <c r="G17" i="7" l="1"/>
  <c r="G17" i="29"/>
  <c r="C17" i="25"/>
  <c r="S17" i="25" s="1"/>
  <c r="G16" i="29" l="1"/>
  <c r="G16" i="7"/>
  <c r="C16" i="25"/>
  <c r="S16" i="25" s="1"/>
  <c r="G15" i="7" l="1"/>
  <c r="G15" i="29"/>
  <c r="C15" i="25"/>
  <c r="S15" i="25" s="1"/>
  <c r="G14" i="29" l="1"/>
  <c r="G14" i="7"/>
  <c r="C14" i="25"/>
  <c r="S14" i="25" s="1"/>
  <c r="G13" i="29" l="1"/>
  <c r="G13" i="7"/>
  <c r="C13" i="25"/>
  <c r="S13" i="25" s="1"/>
  <c r="G12" i="29" l="1"/>
  <c r="G12" i="7"/>
  <c r="C12" i="25"/>
  <c r="S12" i="25" s="1"/>
  <c r="G11" i="7" l="1"/>
  <c r="G11" i="29"/>
  <c r="C11" i="25"/>
  <c r="S11" i="25" s="1"/>
  <c r="G10" i="7" l="1"/>
  <c r="G10" i="29"/>
  <c r="C10" i="25"/>
  <c r="S10" i="25" s="1"/>
  <c r="G9" i="7" l="1"/>
  <c r="G9" i="29"/>
  <c r="E44" i="7" l="1"/>
  <c r="E45" i="7"/>
  <c r="E43" i="7" l="1"/>
  <c r="E42" i="7" l="1"/>
  <c r="E41" i="7" l="1"/>
  <c r="E40" i="7" l="1"/>
  <c r="E39" i="7" l="1"/>
  <c r="E38" i="7" l="1"/>
  <c r="E37" i="7" l="1"/>
  <c r="E36" i="7" l="1"/>
  <c r="E35" i="7" l="1"/>
  <c r="E34" i="7" l="1"/>
  <c r="E32" i="7" l="1"/>
  <c r="E33" i="7"/>
  <c r="E31" i="7"/>
  <c r="E30" i="7" l="1"/>
  <c r="E29" i="7" l="1"/>
  <c r="E28" i="7" l="1"/>
  <c r="E27" i="7" l="1"/>
  <c r="E25" i="7" l="1"/>
  <c r="E23" i="7"/>
  <c r="E26" i="7"/>
  <c r="E24" i="7"/>
  <c r="E22" i="7" l="1"/>
  <c r="E21" i="7" l="1"/>
  <c r="E20" i="7" l="1"/>
  <c r="E19" i="7" l="1"/>
  <c r="E18" i="7" l="1"/>
  <c r="E17" i="7" l="1"/>
  <c r="E16" i="7" l="1"/>
  <c r="E15" i="7" l="1"/>
  <c r="E14" i="7" l="1"/>
  <c r="E13" i="7"/>
  <c r="E12" i="7" l="1"/>
  <c r="E11" i="7" l="1"/>
  <c r="E10" i="7"/>
  <c r="E9" i="7" l="1"/>
  <c r="G27" i="23" l="1"/>
  <c r="G31" i="23"/>
  <c r="G20" i="23"/>
  <c r="G30" i="23"/>
  <c r="G32" i="23"/>
  <c r="G18" i="23"/>
  <c r="G14" i="23"/>
  <c r="G25" i="23" l="1"/>
  <c r="G15" i="23"/>
  <c r="G42" i="23"/>
  <c r="G19" i="23"/>
  <c r="G8" i="23"/>
  <c r="G12" i="23"/>
  <c r="G16" i="23"/>
  <c r="G43" i="23"/>
  <c r="G9" i="23"/>
  <c r="G44" i="23"/>
  <c r="G24" i="23"/>
  <c r="G29" i="23"/>
  <c r="G41" i="23"/>
  <c r="E42" i="24" s="1"/>
  <c r="G42" i="24" s="1"/>
  <c r="G17" i="23"/>
  <c r="E18" i="24" s="1"/>
  <c r="G18" i="24" s="1"/>
  <c r="G10" i="23"/>
  <c r="E11" i="24" s="1"/>
  <c r="G11" i="24" s="1"/>
  <c r="G23" i="23"/>
  <c r="G21" i="23"/>
  <c r="E22" i="24" s="1"/>
  <c r="G22" i="24" s="1"/>
  <c r="G13" i="23"/>
  <c r="E14" i="24" s="1"/>
  <c r="G14" i="24" s="1"/>
  <c r="G26" i="23"/>
  <c r="E27" i="24" s="1"/>
  <c r="G27" i="24" s="1"/>
  <c r="G11" i="23"/>
  <c r="E12" i="24" s="1"/>
  <c r="G12" i="24" s="1"/>
  <c r="G22" i="23"/>
  <c r="E23" i="24" s="1"/>
  <c r="G23" i="24" s="1"/>
  <c r="G28" i="23"/>
  <c r="E29" i="24" s="1"/>
  <c r="G29" i="24" s="1"/>
  <c r="E47" i="24" l="1"/>
  <c r="G47" i="24" s="1"/>
  <c r="E46" i="24"/>
  <c r="G46" i="24" s="1"/>
  <c r="I45" i="24" s="1"/>
  <c r="E26" i="24"/>
  <c r="G26" i="24" s="1"/>
  <c r="E44" i="24"/>
  <c r="G44" i="24" s="1"/>
  <c r="E28" i="24"/>
  <c r="G28" i="24" s="1"/>
  <c r="E17" i="24"/>
  <c r="G17" i="24" s="1"/>
  <c r="E32" i="24"/>
  <c r="G32" i="24" s="1"/>
  <c r="E30" i="24"/>
  <c r="G30" i="24" s="1"/>
  <c r="E13" i="24"/>
  <c r="G13" i="24" s="1"/>
  <c r="E21" i="24"/>
  <c r="G21" i="24" s="1"/>
  <c r="E25" i="24"/>
  <c r="G25" i="24" s="1"/>
  <c r="E9" i="24"/>
  <c r="G9" i="24" s="1"/>
  <c r="E31" i="24"/>
  <c r="G31" i="24" s="1"/>
  <c r="E45" i="24"/>
  <c r="G45" i="24" s="1"/>
  <c r="E20" i="24"/>
  <c r="G20" i="24" s="1"/>
  <c r="E33" i="24"/>
  <c r="G33" i="24" s="1"/>
  <c r="E10" i="24"/>
  <c r="G10" i="24" s="1"/>
  <c r="E43" i="24"/>
  <c r="G43" i="24" s="1"/>
  <c r="E19" i="24"/>
  <c r="G19" i="24" s="1"/>
  <c r="E24" i="24"/>
  <c r="G24" i="24" s="1"/>
  <c r="E16" i="24"/>
  <c r="G16" i="24" s="1"/>
  <c r="E15" i="24"/>
  <c r="G15" i="24" s="1"/>
  <c r="I44" i="24" l="1"/>
  <c r="I43" i="24" l="1"/>
  <c r="I42" i="24" l="1"/>
  <c r="I41" i="24" l="1"/>
  <c r="W32" i="19" l="1"/>
  <c r="V32" i="19" s="1"/>
  <c r="U32" i="19" s="1"/>
  <c r="T32" i="19" s="1"/>
  <c r="S32" i="19" s="1"/>
  <c r="R32" i="19" s="1"/>
  <c r="Q32" i="19" s="1"/>
  <c r="P32" i="19" s="1"/>
  <c r="O32" i="19" s="1"/>
  <c r="N32" i="19" s="1"/>
  <c r="M32" i="19" s="1"/>
  <c r="L32" i="19" s="1"/>
  <c r="K32" i="19" s="1"/>
  <c r="J32" i="19" s="1"/>
  <c r="I32" i="19" s="1"/>
  <c r="H32" i="19" s="1"/>
  <c r="G32" i="19" s="1"/>
  <c r="F32" i="19" s="1"/>
  <c r="E32" i="19" s="1"/>
  <c r="D32" i="19" s="1"/>
  <c r="C32" i="19" s="1"/>
  <c r="W32" i="21" l="1"/>
  <c r="V32" i="21" s="1"/>
  <c r="U32" i="21" s="1"/>
  <c r="T32" i="21" s="1"/>
  <c r="S32" i="21" s="1"/>
  <c r="R32" i="21" s="1"/>
  <c r="Q32" i="21" s="1"/>
  <c r="P32" i="21" s="1"/>
  <c r="O32" i="21" s="1"/>
  <c r="N32" i="21" s="1"/>
  <c r="M32" i="21" s="1"/>
  <c r="L32" i="21" s="1"/>
  <c r="K32" i="21" s="1"/>
  <c r="J32" i="21" s="1"/>
  <c r="I32" i="21" s="1"/>
  <c r="H32" i="21" s="1"/>
  <c r="G32" i="21" s="1"/>
  <c r="F32" i="21" s="1"/>
  <c r="E32" i="21" s="1"/>
  <c r="D32" i="21" s="1"/>
  <c r="C32" i="21" s="1"/>
  <c r="B32" i="21" s="1"/>
  <c r="V32" i="20" l="1"/>
  <c r="U32" i="20" s="1"/>
  <c r="T32" i="20" s="1"/>
  <c r="S32" i="20" s="1"/>
  <c r="R32" i="20" s="1"/>
  <c r="Q32" i="20" s="1"/>
  <c r="P32" i="20" s="1"/>
  <c r="O32" i="20" s="1"/>
  <c r="N32" i="20" s="1"/>
  <c r="M32" i="20" s="1"/>
  <c r="L32" i="20" s="1"/>
  <c r="K32" i="20" s="1"/>
  <c r="J32" i="20" s="1"/>
  <c r="I32" i="20" s="1"/>
  <c r="H32" i="20" s="1"/>
  <c r="G32" i="20" s="1"/>
  <c r="F32" i="20" s="1"/>
  <c r="E32" i="20" s="1"/>
  <c r="D32" i="20" s="1"/>
  <c r="C32" i="20" s="1"/>
  <c r="B32" i="20" s="1"/>
  <c r="Q34" i="11" l="1"/>
  <c r="P34" i="11" s="1"/>
  <c r="O34" i="11" s="1"/>
  <c r="N34" i="11" s="1"/>
  <c r="M34" i="11" s="1"/>
  <c r="L34" i="11" s="1"/>
  <c r="K34" i="11" s="1"/>
  <c r="J34" i="11" s="1"/>
  <c r="I34" i="11" s="1"/>
  <c r="H34" i="11" s="1"/>
  <c r="G34" i="11" s="1"/>
  <c r="F34" i="11" s="1"/>
  <c r="E34" i="11" s="1"/>
  <c r="D34" i="11" s="1"/>
  <c r="C34" i="11" s="1"/>
  <c r="B34" i="11" s="1"/>
  <c r="B32" i="19" l="1"/>
  <c r="Q34" i="2" l="1"/>
  <c r="P34" i="2" l="1"/>
  <c r="O34" i="2" s="1"/>
  <c r="N34" i="2" s="1"/>
  <c r="M34" i="2" s="1"/>
  <c r="L34" i="2" s="1"/>
  <c r="K34" i="2" s="1"/>
  <c r="J34" i="2" s="1"/>
  <c r="I34" i="2" s="1"/>
  <c r="H34" i="2" s="1"/>
  <c r="G34" i="2" s="1"/>
  <c r="F34" i="2" s="1"/>
  <c r="E34" i="2" s="1"/>
  <c r="D34" i="2" s="1"/>
  <c r="C34" i="2" s="1"/>
  <c r="B34" i="2" l="1"/>
  <c r="Q34" i="10" l="1"/>
  <c r="P34" i="10" l="1"/>
  <c r="O34" i="10" s="1"/>
  <c r="N34" i="10" s="1"/>
  <c r="M34" i="10" s="1"/>
  <c r="L34" i="10" s="1"/>
  <c r="K34" i="10" s="1"/>
  <c r="J34" i="10" s="1"/>
  <c r="I34" i="10" s="1"/>
  <c r="H34" i="10" s="1"/>
  <c r="G34" i="10" s="1"/>
  <c r="F34" i="10" s="1"/>
  <c r="E34" i="10" s="1"/>
  <c r="D34" i="10" s="1"/>
  <c r="C34" i="10" s="1"/>
  <c r="B34" i="10" s="1"/>
  <c r="R28" i="14" l="1"/>
  <c r="Q28" i="14" l="1"/>
  <c r="P28" i="14" s="1"/>
  <c r="O28" i="14" s="1"/>
  <c r="N28" i="14" s="1"/>
  <c r="M28" i="14" s="1"/>
  <c r="L28" i="14" s="1"/>
  <c r="K28" i="14" s="1"/>
  <c r="J28" i="14" s="1"/>
  <c r="I28" i="14" s="1"/>
  <c r="H28" i="14" s="1"/>
  <c r="G28" i="14" s="1"/>
  <c r="F28" i="14" s="1"/>
  <c r="E28" i="14" s="1"/>
  <c r="D28" i="14" s="1"/>
  <c r="C28" i="14" s="1"/>
  <c r="S27" i="14" l="1"/>
  <c r="F9" i="43" l="1"/>
  <c r="F9" i="3"/>
  <c r="F10" i="3" l="1"/>
  <c r="F10" i="43"/>
  <c r="G10" i="43" s="1"/>
  <c r="C10" i="7" s="1"/>
  <c r="I10" i="7" s="1"/>
  <c r="G9" i="43"/>
  <c r="C9" i="7" s="1"/>
  <c r="I9" i="7" s="1"/>
  <c r="F11" i="3" l="1"/>
  <c r="F11" i="43"/>
  <c r="G11" i="43" l="1"/>
  <c r="C11" i="7" s="1"/>
  <c r="I11" i="7" s="1"/>
  <c r="F12" i="43"/>
  <c r="F12" i="3"/>
  <c r="G12" i="43" l="1"/>
  <c r="F13" i="43"/>
  <c r="F13" i="3"/>
  <c r="C12" i="7" l="1"/>
  <c r="F14" i="43"/>
  <c r="F14" i="3"/>
  <c r="G13" i="43"/>
  <c r="I12" i="7" l="1"/>
  <c r="C13" i="7"/>
  <c r="F15" i="43"/>
  <c r="F15" i="3"/>
  <c r="G14" i="43"/>
  <c r="I13" i="7" l="1"/>
  <c r="C14" i="7"/>
  <c r="G15" i="43"/>
  <c r="F16" i="43"/>
  <c r="F16" i="3"/>
  <c r="I14" i="7" l="1"/>
  <c r="C15" i="7"/>
  <c r="G16" i="43"/>
  <c r="F17" i="3"/>
  <c r="F17" i="43"/>
  <c r="G17" i="43" s="1"/>
  <c r="I15" i="7" l="1"/>
  <c r="C17" i="7"/>
  <c r="C16" i="7"/>
  <c r="F18" i="43"/>
  <c r="F18" i="3"/>
  <c r="I16" i="7" l="1"/>
  <c r="I17" i="7"/>
  <c r="G18" i="43"/>
  <c r="F19" i="43"/>
  <c r="F19" i="3"/>
  <c r="C18" i="7" l="1"/>
  <c r="F20" i="3"/>
  <c r="F20" i="43"/>
  <c r="G19" i="43"/>
  <c r="I18" i="7" l="1"/>
  <c r="G20" i="43"/>
  <c r="C20" i="7"/>
  <c r="C19" i="7"/>
  <c r="F21" i="43"/>
  <c r="F21" i="3"/>
  <c r="I19" i="7" l="1"/>
  <c r="I20" i="7"/>
  <c r="G21" i="43"/>
  <c r="C21" i="7" s="1"/>
  <c r="F22" i="43"/>
  <c r="F22" i="3"/>
  <c r="I21" i="7" l="1"/>
  <c r="F23" i="43"/>
  <c r="B28" i="14"/>
  <c r="F23" i="3"/>
  <c r="G22" i="43"/>
  <c r="C22" i="7" l="1"/>
  <c r="V34" i="13"/>
  <c r="F24" i="43"/>
  <c r="F24" i="3"/>
  <c r="G23" i="43"/>
  <c r="I22" i="7" l="1"/>
  <c r="C23" i="7"/>
  <c r="F25" i="3"/>
  <c r="F25" i="43"/>
  <c r="G25" i="43" s="1"/>
  <c r="G24" i="43"/>
  <c r="V54" i="13" l="1"/>
  <c r="U34" i="13"/>
  <c r="T34" i="13" s="1"/>
  <c r="S34" i="13" s="1"/>
  <c r="R34" i="13" s="1"/>
  <c r="Q34" i="13" s="1"/>
  <c r="P34" i="13" s="1"/>
  <c r="O34" i="13" s="1"/>
  <c r="N34" i="13" s="1"/>
  <c r="M34" i="13" s="1"/>
  <c r="L34" i="13" s="1"/>
  <c r="K34" i="13" s="1"/>
  <c r="J34" i="13" s="1"/>
  <c r="I34" i="13" s="1"/>
  <c r="H34" i="13" s="1"/>
  <c r="G34" i="13" s="1"/>
  <c r="F34" i="13" s="1"/>
  <c r="E34" i="13" s="1"/>
  <c r="D34" i="13" s="1"/>
  <c r="C34" i="13" s="1"/>
  <c r="I23" i="7"/>
  <c r="C24" i="7"/>
  <c r="C25" i="7"/>
  <c r="F26" i="43"/>
  <c r="F26" i="3"/>
  <c r="U54" i="13" l="1"/>
  <c r="I25" i="7"/>
  <c r="I24" i="7"/>
  <c r="G26" i="43"/>
  <c r="F27" i="43"/>
  <c r="F27" i="3"/>
  <c r="T54" i="13"/>
  <c r="C26" i="7" l="1"/>
  <c r="S54" i="13"/>
  <c r="F28" i="3"/>
  <c r="F28" i="43"/>
  <c r="G28" i="43" s="1"/>
  <c r="G27" i="43"/>
  <c r="I26" i="7" l="1"/>
  <c r="C28" i="7"/>
  <c r="C27" i="7"/>
  <c r="R54" i="13"/>
  <c r="F29" i="43"/>
  <c r="F29" i="3"/>
  <c r="I28" i="7" l="1"/>
  <c r="I27" i="7"/>
  <c r="F30" i="43"/>
  <c r="Q54" i="13"/>
  <c r="F30" i="3"/>
  <c r="G29" i="43"/>
  <c r="C29" i="7" l="1"/>
  <c r="F31" i="3"/>
  <c r="F31" i="43"/>
  <c r="P54" i="13"/>
  <c r="G30" i="43"/>
  <c r="I29" i="7" l="1"/>
  <c r="C30" i="7"/>
  <c r="F32" i="43"/>
  <c r="O54" i="13"/>
  <c r="F32" i="3"/>
  <c r="G31" i="43"/>
  <c r="I30" i="7" l="1"/>
  <c r="C31" i="7"/>
  <c r="F33" i="43"/>
  <c r="F33" i="3"/>
  <c r="N54" i="13"/>
  <c r="G32" i="43"/>
  <c r="I31" i="7" l="1"/>
  <c r="C32" i="7"/>
  <c r="F34" i="43"/>
  <c r="M54" i="13"/>
  <c r="F34" i="3"/>
  <c r="G33" i="43"/>
  <c r="I32" i="7" l="1"/>
  <c r="C33" i="7"/>
  <c r="F35" i="43"/>
  <c r="L54" i="13"/>
  <c r="F35" i="3"/>
  <c r="G34" i="43"/>
  <c r="I33" i="7" l="1"/>
  <c r="C34" i="7"/>
  <c r="F36" i="43"/>
  <c r="G35" i="43"/>
  <c r="E37" i="3"/>
  <c r="F37" i="3" s="1"/>
  <c r="I34" i="7" l="1"/>
  <c r="C35" i="7"/>
  <c r="K54" i="13"/>
  <c r="J54" i="13" s="1"/>
  <c r="E36" i="3"/>
  <c r="F36" i="3" s="1"/>
  <c r="G36" i="43" s="1"/>
  <c r="E38" i="3"/>
  <c r="F38" i="3" s="1"/>
  <c r="I35" i="7" l="1"/>
  <c r="C36" i="7"/>
  <c r="I54" i="13"/>
  <c r="E39" i="3"/>
  <c r="F39" i="3" s="1"/>
  <c r="I36" i="7" l="1"/>
  <c r="H54" i="13"/>
  <c r="E40" i="3"/>
  <c r="F40" i="3" s="1"/>
  <c r="P106" i="45" l="1"/>
  <c r="P109" i="45"/>
  <c r="P107" i="45"/>
  <c r="P108" i="45"/>
  <c r="G54" i="13"/>
  <c r="E41" i="3"/>
  <c r="F41" i="3" s="1"/>
  <c r="F54" i="13" l="1"/>
  <c r="E42" i="3"/>
  <c r="F42" i="3" s="1"/>
  <c r="E41" i="43" l="1"/>
  <c r="F41" i="43" s="1"/>
  <c r="G41" i="43" s="1"/>
  <c r="E54" i="13"/>
  <c r="E43" i="3"/>
  <c r="F43" i="3" s="1"/>
  <c r="E37" i="43" l="1"/>
  <c r="F37" i="43" s="1"/>
  <c r="G37" i="43" s="1"/>
  <c r="C37" i="7" s="1"/>
  <c r="I37" i="7" s="1"/>
  <c r="E38" i="43"/>
  <c r="F38" i="43" s="1"/>
  <c r="G38" i="43" s="1"/>
  <c r="C38" i="7" s="1"/>
  <c r="I38" i="7" s="1"/>
  <c r="E39" i="43"/>
  <c r="F39" i="43" s="1"/>
  <c r="G39" i="43" s="1"/>
  <c r="C39" i="7" s="1"/>
  <c r="I39" i="7" s="1"/>
  <c r="E40" i="43"/>
  <c r="F40" i="43" s="1"/>
  <c r="G40" i="43" s="1"/>
  <c r="C40" i="7" s="1"/>
  <c r="I40" i="7" s="1"/>
  <c r="C41" i="7"/>
  <c r="E42" i="43"/>
  <c r="F42" i="43" s="1"/>
  <c r="G42" i="43" s="1"/>
  <c r="D54" i="13"/>
  <c r="P122" i="45" l="1"/>
  <c r="P125" i="45"/>
  <c r="P123" i="45"/>
  <c r="P124" i="45"/>
  <c r="P121" i="45"/>
  <c r="P120" i="45"/>
  <c r="P119" i="45"/>
  <c r="P118" i="45"/>
  <c r="P114" i="45"/>
  <c r="P115" i="45"/>
  <c r="P117" i="45"/>
  <c r="P116" i="45"/>
  <c r="P113" i="45"/>
  <c r="P112" i="45"/>
  <c r="P111" i="45"/>
  <c r="P110" i="45"/>
  <c r="E44" i="3"/>
  <c r="F44" i="3" s="1"/>
  <c r="B34" i="13"/>
  <c r="I41" i="7"/>
  <c r="C42" i="7"/>
  <c r="E43" i="43"/>
  <c r="F43" i="43" s="1"/>
  <c r="G43" i="43" s="1"/>
  <c r="C54" i="13"/>
  <c r="P126" i="45" l="1"/>
  <c r="P127" i="45"/>
  <c r="P128" i="45"/>
  <c r="P129" i="45"/>
  <c r="E45" i="3"/>
  <c r="F45" i="3" s="1"/>
  <c r="I42" i="7"/>
  <c r="C43" i="7"/>
  <c r="E44" i="43"/>
  <c r="F44" i="43" s="1"/>
  <c r="G44" i="43" s="1"/>
  <c r="B54" i="13"/>
  <c r="E45" i="43" s="1"/>
  <c r="F45" i="43" s="1"/>
  <c r="G45" i="43" s="1"/>
  <c r="P131" i="45" l="1"/>
  <c r="P132" i="45"/>
  <c r="P133" i="45"/>
  <c r="P130" i="45"/>
  <c r="I43" i="7"/>
  <c r="P137" i="45" s="1"/>
  <c r="C44" i="7"/>
  <c r="C45" i="7"/>
  <c r="P134" i="45" l="1"/>
  <c r="P135" i="45"/>
  <c r="P136" i="45"/>
  <c r="P141" i="45"/>
  <c r="I44" i="7"/>
  <c r="P138" i="45" s="1"/>
  <c r="I45" i="7"/>
  <c r="P139" i="45" l="1"/>
  <c r="P140" i="45"/>
  <c r="P145" i="45"/>
  <c r="P144" i="45"/>
  <c r="P143" i="45"/>
  <c r="P142" i="45"/>
  <c r="I49" i="7"/>
  <c r="I48" i="7"/>
  <c r="I50" i="7" l="1"/>
  <c r="K9" i="8" s="1"/>
  <c r="Q154" i="45"/>
  <c r="Q150" i="45"/>
  <c r="P146" i="45"/>
  <c r="Q146" i="45" s="1"/>
  <c r="Q153" i="45" l="1"/>
  <c r="Q152" i="45"/>
  <c r="Q151" i="45"/>
  <c r="Q148" i="45"/>
  <c r="Q147" i="45"/>
  <c r="Q149" i="45"/>
  <c r="Q156" i="45"/>
  <c r="Q155" i="45" s="1"/>
  <c r="R28" i="17"/>
  <c r="Q28" i="17" s="1"/>
  <c r="P28" i="17" s="1"/>
  <c r="O28" i="17" s="1"/>
  <c r="N28" i="17" s="1"/>
  <c r="M28" i="17" s="1"/>
  <c r="L28" i="17" l="1"/>
  <c r="K28" i="17" l="1"/>
  <c r="J28" i="17" l="1"/>
  <c r="I28" i="17" l="1"/>
  <c r="H28" i="17" l="1"/>
  <c r="G28" i="17" l="1"/>
  <c r="F28" i="17" l="1"/>
  <c r="S27" i="17"/>
  <c r="E28" i="17" l="1"/>
  <c r="W58" i="15"/>
  <c r="V58" i="15" s="1"/>
  <c r="U58" i="15" s="1"/>
  <c r="T58" i="15" s="1"/>
  <c r="S58" i="15" s="1"/>
  <c r="R58" i="15" s="1"/>
  <c r="Q58" i="15" s="1"/>
  <c r="P58" i="15" s="1"/>
  <c r="O58" i="15" s="1"/>
  <c r="N58" i="15" s="1"/>
  <c r="M58" i="15" s="1"/>
  <c r="L58" i="15" s="1"/>
  <c r="K58" i="15" s="1"/>
  <c r="J58" i="15" s="1"/>
  <c r="I58" i="15" s="1"/>
  <c r="H58" i="15" s="1"/>
  <c r="G58" i="15" s="1"/>
  <c r="F58" i="15" s="1"/>
  <c r="E58" i="15" s="1"/>
  <c r="D58" i="15" s="1"/>
  <c r="C58" i="15" s="1"/>
  <c r="D28" i="17" l="1"/>
  <c r="F11" i="44"/>
  <c r="F11" i="18"/>
  <c r="G11" i="18" s="1"/>
  <c r="C28" i="17" l="1"/>
  <c r="F12" i="18"/>
  <c r="G12" i="18" s="1"/>
  <c r="F12" i="44"/>
  <c r="G11" i="44"/>
  <c r="H11" i="44"/>
  <c r="C9" i="29" l="1"/>
  <c r="G12" i="44"/>
  <c r="H12" i="44"/>
  <c r="F13" i="44"/>
  <c r="F13" i="18"/>
  <c r="G13" i="18" s="1"/>
  <c r="C10" i="29" l="1"/>
  <c r="G13" i="44"/>
  <c r="H13" i="44"/>
  <c r="F14" i="44"/>
  <c r="F14" i="18"/>
  <c r="G14" i="18" s="1"/>
  <c r="C11" i="29" l="1"/>
  <c r="F15" i="18"/>
  <c r="G15" i="18" s="1"/>
  <c r="F15" i="44"/>
  <c r="G14" i="44"/>
  <c r="H14" i="44"/>
  <c r="C12" i="29" l="1"/>
  <c r="F16" i="44"/>
  <c r="F16" i="18"/>
  <c r="G16" i="18" s="1"/>
  <c r="G15" i="44"/>
  <c r="H15" i="44"/>
  <c r="C13" i="29" l="1"/>
  <c r="F17" i="44"/>
  <c r="F17" i="18"/>
  <c r="G17" i="18" s="1"/>
  <c r="G16" i="44"/>
  <c r="H16" i="44"/>
  <c r="C14" i="29" l="1"/>
  <c r="F18" i="44"/>
  <c r="F18" i="18"/>
  <c r="G18" i="18" s="1"/>
  <c r="G17" i="44"/>
  <c r="H17" i="44"/>
  <c r="C15" i="29" l="1"/>
  <c r="G18" i="44"/>
  <c r="H18" i="44"/>
  <c r="F19" i="44"/>
  <c r="F19" i="18"/>
  <c r="G19" i="18" s="1"/>
  <c r="C16" i="29" l="1"/>
  <c r="G19" i="44"/>
  <c r="H19" i="44"/>
  <c r="F20" i="18"/>
  <c r="G20" i="18" s="1"/>
  <c r="F20" i="44"/>
  <c r="C17" i="29" l="1"/>
  <c r="F21" i="44"/>
  <c r="F21" i="18"/>
  <c r="G21" i="18" s="1"/>
  <c r="G20" i="44"/>
  <c r="H20" i="44"/>
  <c r="C18" i="29" l="1"/>
  <c r="F22" i="18"/>
  <c r="G22" i="18" s="1"/>
  <c r="F22" i="44"/>
  <c r="G21" i="44"/>
  <c r="H21" i="44"/>
  <c r="C19" i="29" l="1"/>
  <c r="F23" i="44"/>
  <c r="F23" i="18"/>
  <c r="G23" i="18" s="1"/>
  <c r="G22" i="44"/>
  <c r="H22" i="44"/>
  <c r="B28" i="17"/>
  <c r="C20" i="29" l="1"/>
  <c r="F24" i="44"/>
  <c r="F24" i="18"/>
  <c r="G24" i="18" s="1"/>
  <c r="G23" i="44"/>
  <c r="H23" i="44"/>
  <c r="V30" i="16"/>
  <c r="C21" i="29" l="1"/>
  <c r="F25" i="18"/>
  <c r="G25" i="18" s="1"/>
  <c r="F25" i="44"/>
  <c r="G24" i="44"/>
  <c r="H24" i="44"/>
  <c r="U30" i="16"/>
  <c r="T30" i="16" l="1"/>
  <c r="C22" i="29"/>
  <c r="F26" i="44"/>
  <c r="F26" i="18"/>
  <c r="G26" i="18" s="1"/>
  <c r="G25" i="44"/>
  <c r="H25" i="44"/>
  <c r="V50" i="16"/>
  <c r="S30" i="16" l="1"/>
  <c r="C23" i="29"/>
  <c r="F27" i="18"/>
  <c r="G27" i="18" s="1"/>
  <c r="F27" i="44"/>
  <c r="G26" i="44"/>
  <c r="H26" i="44"/>
  <c r="U50" i="16"/>
  <c r="R30" i="16" l="1"/>
  <c r="C24" i="29"/>
  <c r="F28" i="44"/>
  <c r="F28" i="18"/>
  <c r="G28" i="18" s="1"/>
  <c r="T50" i="16"/>
  <c r="G27" i="44"/>
  <c r="H27" i="44"/>
  <c r="Q30" i="16" l="1"/>
  <c r="C25" i="29"/>
  <c r="S50" i="16"/>
  <c r="F29" i="44"/>
  <c r="F29" i="18"/>
  <c r="G29" i="18" s="1"/>
  <c r="G28" i="44"/>
  <c r="H28" i="44"/>
  <c r="B58" i="15"/>
  <c r="P30" i="16" l="1"/>
  <c r="C26" i="29"/>
  <c r="R50" i="16"/>
  <c r="F30" i="18"/>
  <c r="G30" i="18" s="1"/>
  <c r="F30" i="44"/>
  <c r="G29" i="44"/>
  <c r="H29" i="44"/>
  <c r="Q55" i="12"/>
  <c r="O30" i="16" l="1"/>
  <c r="C27" i="29"/>
  <c r="Q50" i="16"/>
  <c r="G30" i="44"/>
  <c r="H30" i="44"/>
  <c r="F31" i="18"/>
  <c r="G31" i="18" s="1"/>
  <c r="F31" i="44"/>
  <c r="P55" i="12"/>
  <c r="O55" i="12" s="1"/>
  <c r="N55" i="12" s="1"/>
  <c r="M55" i="12" s="1"/>
  <c r="L55" i="12" s="1"/>
  <c r="K55" i="12" s="1"/>
  <c r="J55" i="12" s="1"/>
  <c r="I55" i="12" s="1"/>
  <c r="H55" i="12" s="1"/>
  <c r="G55" i="12" s="1"/>
  <c r="F55" i="12" s="1"/>
  <c r="E55" i="12" s="1"/>
  <c r="D55" i="12" s="1"/>
  <c r="C55" i="12" s="1"/>
  <c r="N30" i="16" l="1"/>
  <c r="C28" i="29"/>
  <c r="G31" i="44"/>
  <c r="H31" i="44"/>
  <c r="F32" i="44"/>
  <c r="P50" i="16"/>
  <c r="M30" i="16" l="1"/>
  <c r="F32" i="18"/>
  <c r="G32" i="18" s="1"/>
  <c r="C29" i="29"/>
  <c r="F33" i="44"/>
  <c r="G32" i="44"/>
  <c r="O50" i="16"/>
  <c r="L30" i="16" l="1"/>
  <c r="H32" i="44"/>
  <c r="F33" i="18"/>
  <c r="G33" i="18" s="1"/>
  <c r="C30" i="29"/>
  <c r="F34" i="44"/>
  <c r="N50" i="16"/>
  <c r="G33" i="44"/>
  <c r="K30" i="16" l="1"/>
  <c r="H33" i="44"/>
  <c r="F34" i="18"/>
  <c r="G34" i="18" s="1"/>
  <c r="C31" i="29"/>
  <c r="F35" i="44"/>
  <c r="G34" i="44"/>
  <c r="M50" i="16"/>
  <c r="J30" i="16" l="1"/>
  <c r="H34" i="44"/>
  <c r="C32" i="29"/>
  <c r="L50" i="16"/>
  <c r="F35" i="18"/>
  <c r="G35" i="18" s="1"/>
  <c r="F36" i="44"/>
  <c r="G35" i="44"/>
  <c r="I30" i="16" l="1"/>
  <c r="G36" i="44"/>
  <c r="K50" i="16"/>
  <c r="J50" i="16" s="1"/>
  <c r="I50" i="16" s="1"/>
  <c r="H50" i="16" s="1"/>
  <c r="G50" i="16" s="1"/>
  <c r="F50" i="16" s="1"/>
  <c r="E50" i="16" s="1"/>
  <c r="D50" i="16" s="1"/>
  <c r="C50" i="16" s="1"/>
  <c r="F36" i="18"/>
  <c r="G36" i="18" s="1"/>
  <c r="F37" i="44"/>
  <c r="H35" i="44"/>
  <c r="H30" i="16" l="1"/>
  <c r="G37" i="44"/>
  <c r="E39" i="44"/>
  <c r="F39" i="44" s="1"/>
  <c r="C33" i="29"/>
  <c r="H36" i="44"/>
  <c r="F38" i="44"/>
  <c r="F37" i="18"/>
  <c r="G37" i="18" s="1"/>
  <c r="G30" i="16" l="1"/>
  <c r="E40" i="44"/>
  <c r="F40" i="44" s="1"/>
  <c r="F39" i="18"/>
  <c r="G39" i="18" s="1"/>
  <c r="F38" i="18"/>
  <c r="G38" i="18" s="1"/>
  <c r="G39" i="44"/>
  <c r="G38" i="44"/>
  <c r="H37" i="44"/>
  <c r="C34" i="29"/>
  <c r="F30" i="16" l="1"/>
  <c r="H39" i="44"/>
  <c r="C35" i="29"/>
  <c r="H38" i="44"/>
  <c r="F40" i="18"/>
  <c r="G40" i="18" s="1"/>
  <c r="E41" i="44"/>
  <c r="F41" i="44" s="1"/>
  <c r="C37" i="29"/>
  <c r="G40" i="44"/>
  <c r="E30" i="16" l="1"/>
  <c r="H40" i="44"/>
  <c r="C38" i="29" s="1"/>
  <c r="F41" i="18"/>
  <c r="G41" i="18" s="1"/>
  <c r="C36" i="29"/>
  <c r="E42" i="44"/>
  <c r="F42" i="44" s="1"/>
  <c r="G41" i="44"/>
  <c r="D30" i="16" l="1"/>
  <c r="H41" i="44"/>
  <c r="F42" i="18"/>
  <c r="G42" i="18" s="1"/>
  <c r="C39" i="29"/>
  <c r="E43" i="44"/>
  <c r="F43" i="44" s="1"/>
  <c r="G42" i="44"/>
  <c r="C30" i="16" l="1"/>
  <c r="H42" i="44"/>
  <c r="G43" i="44"/>
  <c r="C40" i="29"/>
  <c r="F43" i="18"/>
  <c r="G43" i="18" s="1"/>
  <c r="E44" i="44"/>
  <c r="F44" i="44" s="1"/>
  <c r="F44" i="18" l="1"/>
  <c r="G44" i="18" s="1"/>
  <c r="E45" i="44"/>
  <c r="F45" i="44" s="1"/>
  <c r="H43" i="44"/>
  <c r="G44" i="44"/>
  <c r="H44" i="44" l="1"/>
  <c r="G45" i="44"/>
  <c r="C41" i="29"/>
  <c r="E46" i="44"/>
  <c r="F46" i="44" s="1"/>
  <c r="B50" i="16"/>
  <c r="E47" i="44" s="1"/>
  <c r="I41" i="29" l="1"/>
  <c r="G46" i="44"/>
  <c r="F47" i="44"/>
  <c r="C42" i="29"/>
  <c r="I42" i="29" l="1"/>
  <c r="P130" i="36" s="1"/>
  <c r="P132" i="36"/>
  <c r="P133" i="36"/>
  <c r="P131" i="36"/>
  <c r="G47" i="44"/>
  <c r="G40" i="23" l="1"/>
  <c r="E41" i="24" s="1"/>
  <c r="G41" i="24" s="1"/>
  <c r="I40" i="24" s="1"/>
  <c r="F45" i="18" l="1"/>
  <c r="I40" i="29" l="1"/>
  <c r="G45" i="18"/>
  <c r="H45" i="44"/>
  <c r="P126" i="36" l="1"/>
  <c r="P129" i="36"/>
  <c r="P128" i="36"/>
  <c r="P127" i="36"/>
  <c r="C43" i="29"/>
  <c r="I43" i="29" l="1"/>
  <c r="P134" i="36"/>
  <c r="P135" i="36"/>
  <c r="P136" i="36"/>
  <c r="P137" i="36"/>
  <c r="B30" i="16" l="1"/>
  <c r="B55" i="12"/>
  <c r="F46" i="18" l="1"/>
  <c r="G46" i="18" s="1"/>
  <c r="F47" i="18"/>
  <c r="H46" i="44" l="1"/>
  <c r="G47" i="18"/>
  <c r="H47" i="44"/>
  <c r="C44" i="29"/>
  <c r="I44" i="29" l="1"/>
  <c r="P140" i="36"/>
  <c r="P138" i="36"/>
  <c r="P139" i="36"/>
  <c r="P141" i="36"/>
  <c r="C45" i="29"/>
  <c r="I45" i="29" l="1"/>
  <c r="I48" i="29" s="1"/>
  <c r="Q150" i="36" s="1"/>
  <c r="P143" i="36"/>
  <c r="P142" i="36"/>
  <c r="P146" i="36" l="1"/>
  <c r="Q146" i="36" s="1"/>
  <c r="Q147" i="36" s="1"/>
  <c r="P144" i="36"/>
  <c r="P145" i="36"/>
  <c r="I49" i="29"/>
  <c r="I50" i="29" s="1"/>
  <c r="Q154" i="36" l="1"/>
  <c r="Q152" i="36" s="1"/>
  <c r="Q149" i="36"/>
  <c r="Q148" i="36"/>
  <c r="Q156" i="36"/>
  <c r="M9" i="8"/>
  <c r="O9" i="8" s="1"/>
  <c r="O14" i="8" s="1"/>
  <c r="O18" i="8" s="1"/>
  <c r="Q151" i="36" l="1"/>
  <c r="Q153" i="36"/>
  <c r="Q155" i="36"/>
  <c r="J10" i="26"/>
  <c r="F11" i="26" l="1"/>
  <c r="J11" i="26"/>
  <c r="L11" i="26" l="1"/>
  <c r="J12" i="26"/>
  <c r="L12" i="26" s="1"/>
  <c r="F12" i="26"/>
  <c r="F13" i="26" l="1"/>
  <c r="J13" i="26"/>
  <c r="L13" i="26" l="1"/>
  <c r="J15" i="26" l="1"/>
  <c r="F15" i="26"/>
  <c r="F14" i="26"/>
  <c r="J14" i="26"/>
  <c r="F16" i="26" l="1"/>
  <c r="J16" i="26"/>
  <c r="L16" i="26" s="1"/>
  <c r="L14" i="26"/>
  <c r="L15" i="26"/>
  <c r="F17" i="26" l="1"/>
  <c r="J17" i="26"/>
  <c r="L17" i="26" s="1"/>
  <c r="J18" i="26" l="1"/>
  <c r="L18" i="26" s="1"/>
  <c r="F18" i="26"/>
  <c r="F19" i="26" l="1"/>
  <c r="J19" i="26"/>
  <c r="L19" i="26" s="1"/>
  <c r="F20" i="26" l="1"/>
  <c r="J20" i="26"/>
  <c r="L20" i="26" s="1"/>
  <c r="F21" i="26" l="1"/>
  <c r="J21" i="26"/>
  <c r="L21" i="26" s="1"/>
  <c r="F22" i="26" l="1"/>
  <c r="J22" i="26"/>
  <c r="L22" i="26" s="1"/>
  <c r="J23" i="26" l="1"/>
  <c r="L23" i="26" s="1"/>
  <c r="F23" i="26"/>
  <c r="F24" i="26" l="1"/>
  <c r="J24" i="26"/>
  <c r="L24" i="26" s="1"/>
  <c r="J25" i="26" l="1"/>
  <c r="F25" i="26"/>
  <c r="F26" i="26" l="1"/>
  <c r="J26" i="26"/>
  <c r="L26" i="26" s="1"/>
  <c r="L25" i="26"/>
  <c r="F27" i="26" l="1"/>
  <c r="J27" i="26"/>
  <c r="L27" i="26" l="1"/>
  <c r="J28" i="26"/>
  <c r="L28" i="26" s="1"/>
  <c r="F28" i="26"/>
  <c r="F29" i="26" l="1"/>
  <c r="J29" i="26"/>
  <c r="L29" i="26" l="1"/>
  <c r="F31" i="26" l="1"/>
  <c r="J31" i="26"/>
  <c r="F30" i="26"/>
  <c r="J30" i="26"/>
  <c r="L30" i="26" l="1"/>
  <c r="L31" i="26"/>
  <c r="F32" i="26"/>
  <c r="J32" i="26"/>
  <c r="L32" i="26" s="1"/>
  <c r="J33" i="26" l="1"/>
  <c r="L33" i="26" s="1"/>
  <c r="F33" i="26"/>
  <c r="F34" i="26" l="1"/>
  <c r="J34" i="26"/>
  <c r="L34" i="26" s="1"/>
  <c r="F35" i="26"/>
  <c r="J35" i="26"/>
  <c r="L35" i="26" s="1"/>
  <c r="J36" i="26" l="1"/>
  <c r="L36" i="26" s="1"/>
  <c r="F36" i="26"/>
  <c r="J37" i="26" l="1"/>
  <c r="L37" i="26" s="1"/>
  <c r="F37" i="26"/>
  <c r="F38" i="26" l="1"/>
  <c r="J38" i="26"/>
  <c r="L38" i="26" s="1"/>
  <c r="J39" i="26" l="1"/>
  <c r="L39" i="26" s="1"/>
  <c r="F39" i="26"/>
  <c r="J40" i="26" l="1"/>
  <c r="L40" i="26" s="1"/>
  <c r="F40" i="26"/>
  <c r="J41" i="26" l="1"/>
  <c r="L41" i="26" s="1"/>
  <c r="F41" i="26"/>
  <c r="J43" i="26" l="1"/>
  <c r="F43" i="26"/>
  <c r="J42" i="26"/>
  <c r="L42" i="26" s="1"/>
  <c r="F42" i="26"/>
  <c r="L47" i="26" l="1"/>
  <c r="L43" i="26"/>
  <c r="L45" i="26"/>
  <c r="L46" i="26"/>
  <c r="F11" i="27" l="1"/>
  <c r="F12" i="27" l="1"/>
  <c r="F13" i="27" l="1"/>
  <c r="F14" i="27" l="1"/>
  <c r="F15" i="27" l="1"/>
  <c r="F16" i="27" l="1"/>
  <c r="F17" i="27" l="1"/>
  <c r="F18" i="27" l="1"/>
  <c r="F19" i="27" l="1"/>
  <c r="F20" i="27" l="1"/>
  <c r="F21" i="27" l="1"/>
  <c r="F22" i="27" l="1"/>
  <c r="F23" i="27" l="1"/>
  <c r="F24" i="27" l="1"/>
  <c r="F25" i="27" l="1"/>
  <c r="F26" i="27" l="1"/>
  <c r="D14" i="28" l="1"/>
  <c r="F27" i="27"/>
  <c r="D15" i="28" l="1"/>
  <c r="F28" i="27"/>
  <c r="D16" i="28" l="1"/>
  <c r="F29" i="27"/>
  <c r="D17" i="28" l="1"/>
  <c r="F30" i="27"/>
  <c r="D18" i="28" l="1"/>
  <c r="D19" i="28" l="1"/>
  <c r="F32" i="27" l="1"/>
  <c r="F33" i="27"/>
  <c r="D20" i="28" l="1"/>
  <c r="L20" i="28"/>
  <c r="F34" i="27"/>
  <c r="L21" i="28" l="1"/>
  <c r="D21" i="28"/>
  <c r="F35" i="27"/>
  <c r="L19" i="28"/>
  <c r="F36" i="27"/>
  <c r="D23" i="28" l="1"/>
  <c r="L18" i="28"/>
  <c r="L23" i="28"/>
  <c r="D22" i="28"/>
  <c r="L22" i="28"/>
  <c r="F37" i="27"/>
  <c r="D24" i="28" l="1"/>
  <c r="L24" i="28"/>
  <c r="L17" i="28"/>
  <c r="L16" i="28"/>
  <c r="G34" i="23"/>
  <c r="E35" i="24" s="1"/>
  <c r="G35" i="24" s="1"/>
  <c r="L25" i="28" l="1"/>
  <c r="D25" i="28"/>
  <c r="F38" i="27"/>
  <c r="G33" i="23"/>
  <c r="E34" i="24" s="1"/>
  <c r="G34" i="24" s="1"/>
  <c r="L15" i="28" l="1"/>
  <c r="D26" i="28"/>
  <c r="F39" i="27"/>
  <c r="G36" i="23"/>
  <c r="E37" i="24" s="1"/>
  <c r="G37" i="24" s="1"/>
  <c r="G37" i="23"/>
  <c r="E38" i="24" s="1"/>
  <c r="G38" i="24" s="1"/>
  <c r="L26" i="28" l="1"/>
  <c r="D28" i="28"/>
  <c r="D27" i="28"/>
  <c r="L14" i="28"/>
  <c r="F40" i="27"/>
  <c r="G35" i="23"/>
  <c r="E36" i="24" s="1"/>
  <c r="G36" i="24" s="1"/>
  <c r="L27" i="28" l="1"/>
  <c r="G39" i="23"/>
  <c r="E40" i="24" s="1"/>
  <c r="G40" i="24" s="1"/>
  <c r="I39" i="24" s="1"/>
  <c r="L28" i="28" l="1"/>
  <c r="G38" i="23"/>
  <c r="E39" i="24" s="1"/>
  <c r="G39" i="24" s="1"/>
  <c r="I38" i="24" s="1"/>
  <c r="I37" i="24" s="1"/>
  <c r="I36" i="24" s="1"/>
  <c r="I35" i="24" s="1"/>
  <c r="I34" i="24" s="1"/>
  <c r="I33" i="24" s="1"/>
  <c r="I32" i="24" s="1"/>
  <c r="I31" i="24" s="1"/>
  <c r="I30" i="24" s="1"/>
  <c r="I29" i="24" s="1"/>
  <c r="I28" i="24" s="1"/>
  <c r="I27" i="24" s="1"/>
  <c r="I26" i="24" s="1"/>
  <c r="I25" i="24" s="1"/>
  <c r="I24" i="24" s="1"/>
  <c r="I23" i="24" s="1"/>
  <c r="I22" i="24" s="1"/>
  <c r="I21" i="24" s="1"/>
  <c r="I20" i="24" s="1"/>
  <c r="I19" i="24" s="1"/>
  <c r="I18" i="24" s="1"/>
  <c r="I17" i="24" s="1"/>
  <c r="I16" i="24" s="1"/>
  <c r="I15" i="24" s="1"/>
  <c r="I14" i="24" s="1"/>
  <c r="I13" i="24" s="1"/>
  <c r="I12" i="24" s="1"/>
  <c r="I11" i="24" s="1"/>
  <c r="I10" i="24" s="1"/>
  <c r="I9" i="24" s="1"/>
  <c r="I38" i="29" l="1"/>
  <c r="I39" i="29"/>
  <c r="P124" i="36" s="1"/>
  <c r="D29" i="28"/>
  <c r="F41" i="27"/>
  <c r="P123" i="36" l="1"/>
  <c r="P118" i="36"/>
  <c r="P119" i="36"/>
  <c r="P122" i="36"/>
  <c r="P120" i="36"/>
  <c r="P121" i="36"/>
  <c r="P125" i="36"/>
  <c r="I37" i="29"/>
  <c r="P114" i="36" s="1"/>
  <c r="P117" i="36" l="1"/>
  <c r="P115" i="36"/>
  <c r="P116" i="36"/>
  <c r="E36" i="29"/>
  <c r="L29" i="28"/>
  <c r="E35" i="29" l="1"/>
  <c r="I36" i="29"/>
  <c r="N29" i="28"/>
  <c r="F29" i="28"/>
  <c r="J41" i="27"/>
  <c r="P111" i="36" l="1"/>
  <c r="P113" i="36"/>
  <c r="P112" i="36"/>
  <c r="P110" i="36"/>
  <c r="E34" i="29"/>
  <c r="I35" i="29"/>
  <c r="J40" i="27"/>
  <c r="L41" i="27" s="1"/>
  <c r="F28" i="28"/>
  <c r="H29" i="28" s="1"/>
  <c r="N28" i="28"/>
  <c r="P29" i="28" s="1"/>
  <c r="E33" i="29" l="1"/>
  <c r="P107" i="36"/>
  <c r="P109" i="36"/>
  <c r="P106" i="36"/>
  <c r="P108" i="36"/>
  <c r="I34" i="29"/>
  <c r="J39" i="27"/>
  <c r="L40" i="27" s="1"/>
  <c r="F27" i="28"/>
  <c r="H28" i="28" s="1"/>
  <c r="N27" i="28"/>
  <c r="P102" i="36" l="1"/>
  <c r="P105" i="36"/>
  <c r="P103" i="36"/>
  <c r="P104" i="36"/>
  <c r="E32" i="29"/>
  <c r="I33" i="29"/>
  <c r="P28" i="28"/>
  <c r="J38" i="27"/>
  <c r="L39" i="27" s="1"/>
  <c r="F26" i="28"/>
  <c r="H27" i="28" s="1"/>
  <c r="N26" i="28"/>
  <c r="P27" i="28" s="1"/>
  <c r="F30" i="28"/>
  <c r="P101" i="36" l="1"/>
  <c r="P100" i="36"/>
  <c r="P99" i="36"/>
  <c r="P98" i="36"/>
  <c r="I32" i="29"/>
  <c r="P94" i="36" s="1"/>
  <c r="E31" i="29"/>
  <c r="J37" i="27"/>
  <c r="L38" i="27" s="1"/>
  <c r="N25" i="28"/>
  <c r="P26" i="28" s="1"/>
  <c r="F25" i="28"/>
  <c r="D30" i="28"/>
  <c r="J42" i="27"/>
  <c r="L42" i="27" s="1"/>
  <c r="F42" i="27"/>
  <c r="F31" i="28"/>
  <c r="E30" i="29" l="1"/>
  <c r="I31" i="29"/>
  <c r="H30" i="28"/>
  <c r="H26" i="28"/>
  <c r="J36" i="27"/>
  <c r="L37" i="27" s="1"/>
  <c r="F24" i="28"/>
  <c r="H25" i="28" s="1"/>
  <c r="N24" i="28"/>
  <c r="N30" i="28"/>
  <c r="L30" i="28"/>
  <c r="D31" i="28"/>
  <c r="H31" i="28"/>
  <c r="J43" i="27"/>
  <c r="L43" i="27" s="1"/>
  <c r="F43" i="27"/>
  <c r="I30" i="29" l="1"/>
  <c r="P92" i="36"/>
  <c r="P91" i="36"/>
  <c r="P90" i="36"/>
  <c r="P93" i="36"/>
  <c r="E29" i="29"/>
  <c r="H36" i="28"/>
  <c r="J35" i="27"/>
  <c r="L36" i="27" s="1"/>
  <c r="F23" i="28"/>
  <c r="N23" i="28"/>
  <c r="P24" i="28" s="1"/>
  <c r="P30" i="28"/>
  <c r="L31" i="28"/>
  <c r="N31" i="28"/>
  <c r="P31" i="28" s="1"/>
  <c r="P25" i="28"/>
  <c r="I29" i="29" l="1"/>
  <c r="E28" i="29"/>
  <c r="P87" i="36"/>
  <c r="P86" i="36"/>
  <c r="P89" i="36"/>
  <c r="P88" i="36"/>
  <c r="J34" i="27"/>
  <c r="F22" i="28"/>
  <c r="H23" i="28" s="1"/>
  <c r="N22" i="28"/>
  <c r="P23" i="28" s="1"/>
  <c r="P36" i="28"/>
  <c r="H24" i="28"/>
  <c r="I28" i="29" l="1"/>
  <c r="P85" i="36"/>
  <c r="P84" i="36"/>
  <c r="P82" i="36"/>
  <c r="P83" i="36"/>
  <c r="E27" i="29"/>
  <c r="J33" i="27"/>
  <c r="L34" i="27" s="1"/>
  <c r="N21" i="28"/>
  <c r="P22" i="28" s="1"/>
  <c r="F21" i="28"/>
  <c r="H22" i="28" s="1"/>
  <c r="L35" i="27"/>
  <c r="I27" i="29" l="1"/>
  <c r="E26" i="29"/>
  <c r="P78" i="36"/>
  <c r="P79" i="36"/>
  <c r="P81" i="36"/>
  <c r="P80" i="36"/>
  <c r="J32" i="27"/>
  <c r="L33" i="27" s="1"/>
  <c r="F20" i="28"/>
  <c r="N20" i="28"/>
  <c r="P21" i="28" s="1"/>
  <c r="I26" i="29" l="1"/>
  <c r="E25" i="29"/>
  <c r="P77" i="36"/>
  <c r="P74" i="36"/>
  <c r="P75" i="36"/>
  <c r="P76" i="36"/>
  <c r="H21" i="28"/>
  <c r="J31" i="27"/>
  <c r="L32" i="27" s="1"/>
  <c r="F19" i="28"/>
  <c r="N19" i="28"/>
  <c r="P20" i="28" s="1"/>
  <c r="E24" i="29" l="1"/>
  <c r="I25" i="29"/>
  <c r="P70" i="36"/>
  <c r="P72" i="36"/>
  <c r="P73" i="36"/>
  <c r="P71" i="36"/>
  <c r="H20" i="28"/>
  <c r="J30" i="27"/>
  <c r="F18" i="28"/>
  <c r="N18" i="28"/>
  <c r="E23" i="29" l="1"/>
  <c r="P67" i="36"/>
  <c r="P66" i="36"/>
  <c r="P68" i="36"/>
  <c r="P69" i="36"/>
  <c r="I24" i="29"/>
  <c r="P19" i="28"/>
  <c r="J29" i="27"/>
  <c r="L30" i="27" s="1"/>
  <c r="F17" i="28"/>
  <c r="H18" i="28" s="1"/>
  <c r="N17" i="28"/>
  <c r="P18" i="28" s="1"/>
  <c r="H19" i="28"/>
  <c r="P62" i="36" l="1"/>
  <c r="P63" i="36"/>
  <c r="P65" i="36"/>
  <c r="P64" i="36"/>
  <c r="E22" i="29"/>
  <c r="I23" i="29"/>
  <c r="J28" i="27"/>
  <c r="F16" i="28"/>
  <c r="N16" i="28"/>
  <c r="P17" i="28" s="1"/>
  <c r="P58" i="36" l="1"/>
  <c r="P61" i="36"/>
  <c r="P59" i="36"/>
  <c r="P60" i="36"/>
  <c r="I22" i="29"/>
  <c r="E21" i="29"/>
  <c r="H17" i="28"/>
  <c r="L29" i="27"/>
  <c r="J27" i="27"/>
  <c r="L28" i="27" s="1"/>
  <c r="F15" i="28"/>
  <c r="N15" i="28"/>
  <c r="E20" i="29" l="1"/>
  <c r="P56" i="36"/>
  <c r="P57" i="36"/>
  <c r="P54" i="36"/>
  <c r="P55" i="36"/>
  <c r="I21" i="29"/>
  <c r="J26" i="27"/>
  <c r="L27" i="27" s="1"/>
  <c r="F14" i="28"/>
  <c r="H15" i="28" s="1"/>
  <c r="N14" i="28"/>
  <c r="P15" i="28" s="1"/>
  <c r="P16" i="28"/>
  <c r="H16" i="28"/>
  <c r="I20" i="29" l="1"/>
  <c r="P50" i="36"/>
  <c r="P53" i="36"/>
  <c r="P51" i="36"/>
  <c r="P52" i="36"/>
  <c r="E19" i="29"/>
  <c r="J25" i="27"/>
  <c r="F13" i="28"/>
  <c r="H35" i="28" s="1"/>
  <c r="N13" i="28"/>
  <c r="P35" i="28" s="1"/>
  <c r="E18" i="29" l="1"/>
  <c r="H14" i="28"/>
  <c r="I19" i="29"/>
  <c r="P46" i="36"/>
  <c r="P47" i="36"/>
  <c r="P49" i="36"/>
  <c r="P48" i="36"/>
  <c r="J24" i="27"/>
  <c r="L25" i="27" s="1"/>
  <c r="P14" i="28"/>
  <c r="L26" i="27"/>
  <c r="P42" i="36" l="1"/>
  <c r="P45" i="36"/>
  <c r="P43" i="36"/>
  <c r="P44" i="36"/>
  <c r="E17" i="29"/>
  <c r="I18" i="29"/>
  <c r="J23" i="27"/>
  <c r="L24" i="27" s="1"/>
  <c r="P39" i="36" l="1"/>
  <c r="P41" i="36"/>
  <c r="P40" i="36"/>
  <c r="P38" i="36"/>
  <c r="I17" i="29"/>
  <c r="E16" i="29"/>
  <c r="J22" i="27"/>
  <c r="P35" i="36" l="1"/>
  <c r="P37" i="36"/>
  <c r="P36" i="36"/>
  <c r="P34" i="36"/>
  <c r="E15" i="29"/>
  <c r="I16" i="29"/>
  <c r="J21" i="27"/>
  <c r="L22" i="27" s="1"/>
  <c r="L23" i="27"/>
  <c r="P31" i="36" l="1"/>
  <c r="P33" i="36"/>
  <c r="P32" i="36"/>
  <c r="P30" i="36"/>
  <c r="I15" i="29"/>
  <c r="J20" i="27"/>
  <c r="L21" i="27" s="1"/>
  <c r="P26" i="36" l="1"/>
  <c r="P27" i="36"/>
  <c r="P29" i="36"/>
  <c r="P28" i="36"/>
  <c r="J19" i="27"/>
  <c r="L20" i="27" s="1"/>
  <c r="E14" i="29"/>
  <c r="E13" i="29"/>
  <c r="I14" i="29" l="1"/>
  <c r="P25" i="36" s="1"/>
  <c r="I13" i="29"/>
  <c r="J18" i="27"/>
  <c r="L19" i="27" s="1"/>
  <c r="P19" i="36"/>
  <c r="P18" i="36"/>
  <c r="P21" i="36"/>
  <c r="P20" i="36"/>
  <c r="P22" i="36"/>
  <c r="E12" i="29"/>
  <c r="P24" i="36" l="1"/>
  <c r="P23" i="36"/>
  <c r="I12" i="29"/>
  <c r="P17" i="36" s="1"/>
  <c r="J17" i="27"/>
  <c r="E11" i="29"/>
  <c r="I11" i="29" s="1"/>
  <c r="P16" i="36" l="1"/>
  <c r="P15" i="36"/>
  <c r="P14" i="36"/>
  <c r="P12" i="36"/>
  <c r="P11" i="36"/>
  <c r="P13" i="36"/>
  <c r="P10" i="36"/>
  <c r="J16" i="27"/>
  <c r="L17" i="27" s="1"/>
  <c r="L18" i="27"/>
  <c r="E10" i="29"/>
  <c r="I10" i="29" s="1"/>
  <c r="J15" i="27" l="1"/>
  <c r="L16" i="27" s="1"/>
  <c r="P9" i="36"/>
  <c r="P8" i="36"/>
  <c r="P7" i="36"/>
  <c r="P6" i="36"/>
  <c r="E9" i="29"/>
  <c r="I9" i="29" s="1"/>
  <c r="J14" i="27" l="1"/>
  <c r="L15" i="27" s="1"/>
  <c r="P5" i="36"/>
  <c r="P2" i="36"/>
  <c r="P3" i="36"/>
  <c r="P4" i="36"/>
  <c r="J13" i="27" l="1"/>
  <c r="L14" i="27" s="1"/>
  <c r="J12" i="27" l="1"/>
  <c r="L13" i="27" s="1"/>
  <c r="J11" i="27" l="1"/>
  <c r="L12" i="27" s="1"/>
  <c r="J10" i="27" l="1"/>
  <c r="L11" i="27" s="1"/>
</calcChain>
</file>

<file path=xl/sharedStrings.xml><?xml version="1.0" encoding="utf-8"?>
<sst xmlns="http://schemas.openxmlformats.org/spreadsheetml/2006/main" count="3984" uniqueCount="495">
  <si>
    <t>California Workers' Compensation</t>
  </si>
  <si>
    <t>Earned</t>
  </si>
  <si>
    <t xml:space="preserve">Paid </t>
  </si>
  <si>
    <t>Indemnity</t>
  </si>
  <si>
    <t xml:space="preserve">  Paid   </t>
  </si>
  <si>
    <t>Medical</t>
  </si>
  <si>
    <t xml:space="preserve">Total  </t>
  </si>
  <si>
    <t xml:space="preserve">Loss  </t>
  </si>
  <si>
    <t>Year</t>
  </si>
  <si>
    <t>Premium</t>
  </si>
  <si>
    <t>Reserves</t>
  </si>
  <si>
    <t>Ratio*</t>
  </si>
  <si>
    <t>*</t>
  </si>
  <si>
    <t>**</t>
  </si>
  <si>
    <t>Paid medical for accident years 2011 and subsequent exclude the paid cost of medical cost containment programs (MCCP).  Paid medical for accident years 2010 and prior include paid MCCP costs.</t>
  </si>
  <si>
    <t>IBNR*</t>
  </si>
  <si>
    <t>Incurred**</t>
  </si>
  <si>
    <t>Incurred Indemnity Loss Development Factors</t>
  </si>
  <si>
    <t>Age-to-Age (in months)</t>
  </si>
  <si>
    <t>Accident Year</t>
  </si>
  <si>
    <t>Selected (a)</t>
  </si>
  <si>
    <t>Cumulative</t>
  </si>
  <si>
    <t>(a)</t>
  </si>
  <si>
    <t>Incurred Indemnity Loss Development Factors (Continued)</t>
  </si>
  <si>
    <t xml:space="preserve">Cumulative </t>
  </si>
  <si>
    <t>Incurred Medical Loss Development Factors</t>
  </si>
  <si>
    <t>(b)</t>
  </si>
  <si>
    <t>Incurred Medical Loss Development Factors (Continued)</t>
  </si>
  <si>
    <t>Paid Indemnity Loss Development Factors</t>
  </si>
  <si>
    <t>---</t>
  </si>
  <si>
    <t>Paid Indemnity Loss Development Factors (Continued)</t>
  </si>
  <si>
    <t/>
  </si>
  <si>
    <t>Paid Medical Loss Development Factors</t>
  </si>
  <si>
    <t>Selected (c)</t>
  </si>
  <si>
    <t>(c)</t>
  </si>
  <si>
    <t>Paid Medical Loss Development Factors (Continued)</t>
  </si>
  <si>
    <t>(e)</t>
  </si>
  <si>
    <t>Development Factors</t>
  </si>
  <si>
    <t>(1)</t>
  </si>
  <si>
    <t>(2)</t>
  </si>
  <si>
    <t>(3)</t>
  </si>
  <si>
    <t>(4)</t>
  </si>
  <si>
    <t>(5)</t>
  </si>
  <si>
    <t>(6)</t>
  </si>
  <si>
    <t>Adjusted</t>
  </si>
  <si>
    <t>Projected</t>
  </si>
  <si>
    <t>Accident</t>
  </si>
  <si>
    <t>Ultimate</t>
  </si>
  <si>
    <t>Loss Ratio</t>
  </si>
  <si>
    <t>(d)</t>
  </si>
  <si>
    <t>Unadjusted (a)</t>
  </si>
  <si>
    <t>Adjusted (b)</t>
  </si>
  <si>
    <t>Indemnity Benefit Level Factors</t>
  </si>
  <si>
    <t>Annual Benefit</t>
  </si>
  <si>
    <t xml:space="preserve">Annual Impact   </t>
  </si>
  <si>
    <t>Annual</t>
  </si>
  <si>
    <t>Composite</t>
  </si>
  <si>
    <t>Change Prior to</t>
  </si>
  <si>
    <t>on Indemnity Benefits</t>
  </si>
  <si>
    <t>Cost</t>
  </si>
  <si>
    <t>Frequency</t>
  </si>
  <si>
    <t>Due to Wage</t>
  </si>
  <si>
    <t>Impact on</t>
  </si>
  <si>
    <t xml:space="preserve">Adjustment  </t>
  </si>
  <si>
    <t>Adjustments (a)</t>
  </si>
  <si>
    <t>Inflation (b)</t>
  </si>
  <si>
    <t>Indemnity (c)</t>
  </si>
  <si>
    <t>Factor (d)</t>
  </si>
  <si>
    <t>(f)</t>
  </si>
  <si>
    <t>{ [Column (1) /100 + 1.0] x [Column (2) /100 + 1.0] x [Column (3) /100 + 1.0 ] - 1.0 } x 100.</t>
  </si>
  <si>
    <t>On-level factors for accident years 2002, 2003 and 2004 adjust the portion of permanent disability claims that are estimated to not be subject to the January 1, 2005 PDRS (95% for accident year 2002, 75% for accident year 2003 and 40% for accident year 2004) to the January 1, 2005 PDRS level, and adjust for the corresponding utilization impacts on all 2002, 2003 and 2004 indemnity claims.</t>
  </si>
  <si>
    <t>Annual Medical Cost Level Change - Non-Legislative</t>
  </si>
  <si>
    <t>Proportion of</t>
  </si>
  <si>
    <t>Impact of</t>
  </si>
  <si>
    <t>Factor to a</t>
  </si>
  <si>
    <t>Factor to Adjust</t>
  </si>
  <si>
    <t>Medical Not</t>
  </si>
  <si>
    <t>Fee Schedule</t>
  </si>
  <si>
    <t>Change in</t>
  </si>
  <si>
    <t>CPI Change</t>
  </si>
  <si>
    <t>Non-Legislative</t>
  </si>
  <si>
    <t>Subject to</t>
  </si>
  <si>
    <t>Change on</t>
  </si>
  <si>
    <t>on Total</t>
  </si>
  <si>
    <t>Cost Impact on</t>
  </si>
  <si>
    <t>Fee Schedule (a)</t>
  </si>
  <si>
    <t>Total Medical (b)</t>
  </si>
  <si>
    <t>CPI (c)</t>
  </si>
  <si>
    <t>Medical (d)</t>
  </si>
  <si>
    <t>Total Medical (e)</t>
  </si>
  <si>
    <t>(i)</t>
  </si>
  <si>
    <t>(ii)</t>
  </si>
  <si>
    <t>(iii)</t>
  </si>
  <si>
    <t>(iv),(v)</t>
  </si>
  <si>
    <t>(v)</t>
  </si>
  <si>
    <t>Based on a component of the Consumer Price Index. Projections furnished by the California Department of Finance.</t>
  </si>
  <si>
    <t>Adjusted CPI on workers' compensation medical costs that are not subject to fee schedules.  The current year impact is the weighted average of 0% and Column (4), with Columns (1) and (2) from prior years as weights.  (i) 1993's non-fee proportion is reduced by 13.8% due to the new medical-legal fee schedule enacted in 1994.  (ii) 1998's non-fee proportion is reduced by 7.7% due to the Inpatient Hospital Fee Schedule (IHFS) effective 4/1/1999.  (iii) 2002's non-fee proportion is reduced by 7.6% due to the new pharmaceutical fee schedule effective 1/1/2003.  (iv) 2003's non-fee proportion is reduced by 17.2% due to the outpatient fee schedule effective 1/1/2004.  (v) Given the anticipated impact of legislative reform, a 0% inflation rate has been assumed for 2004 and 2005.</t>
  </si>
  <si>
    <t>Column (6) = Column (3) + Column (5).</t>
  </si>
  <si>
    <t>Annual Medical Cost Level Change - Legislative</t>
  </si>
  <si>
    <t>Annual Legislative</t>
  </si>
  <si>
    <t>Annual Legislative Cost Impact</t>
  </si>
  <si>
    <t>Annual Total</t>
  </si>
  <si>
    <t xml:space="preserve">Cost Impact on </t>
  </si>
  <si>
    <t>on Medical Due to</t>
  </si>
  <si>
    <t>Legislative Cost</t>
  </si>
  <si>
    <t>This reflects the annual percentage impact on medical costs due to changes in the frequency of indemnity claims as a result of benefit changes.</t>
  </si>
  <si>
    <t xml:space="preserve">[Column (1) + 1.0] x [Column (2) + 1.0] - 1.0 </t>
  </si>
  <si>
    <t>Total Medical Cost Level Factors</t>
  </si>
  <si>
    <t>Total</t>
  </si>
  <si>
    <t>Legislative</t>
  </si>
  <si>
    <t>Annual Cost</t>
  </si>
  <si>
    <t>Medical (a)</t>
  </si>
  <si>
    <t>See Exhibit 4.2, Column (6).</t>
  </si>
  <si>
    <t>See Exhibit 4.3, Column (3).</t>
  </si>
  <si>
    <t>Column (3) = [1.0 + Column (1) ] x [1.0 + Column (2)] - 1.0.</t>
  </si>
  <si>
    <t xml:space="preserve">Annual Wage Level Changes   </t>
  </si>
  <si>
    <t>Annual Wage</t>
  </si>
  <si>
    <t>Premium Adjustment Factors</t>
  </si>
  <si>
    <t>(2a)</t>
  </si>
  <si>
    <t>(2b)</t>
  </si>
  <si>
    <t>(2c)</t>
  </si>
  <si>
    <t>(7)</t>
  </si>
  <si>
    <t>Ratio of</t>
  </si>
  <si>
    <t>Factor to</t>
  </si>
  <si>
    <t>Insurer Premium</t>
  </si>
  <si>
    <t>Off-Balance</t>
  </si>
  <si>
    <t>Industry Average</t>
  </si>
  <si>
    <t>Correction in</t>
  </si>
  <si>
    <t>Charged Rates</t>
  </si>
  <si>
    <t>Adjustment</t>
  </si>
  <si>
    <t>Advisory</t>
  </si>
  <si>
    <t>for Impact</t>
  </si>
  <si>
    <t>to Advisory</t>
  </si>
  <si>
    <t>Pure Premium</t>
  </si>
  <si>
    <t xml:space="preserve">Pure Premium </t>
  </si>
  <si>
    <t>to Remove</t>
  </si>
  <si>
    <t>Average</t>
  </si>
  <si>
    <t>of Premium</t>
  </si>
  <si>
    <t>Calendar</t>
  </si>
  <si>
    <t>Rate Level as of</t>
  </si>
  <si>
    <t>Surcharge</t>
  </si>
  <si>
    <t>Experience</t>
  </si>
  <si>
    <t>Resulting from</t>
  </si>
  <si>
    <t>Wage Level (a)</t>
  </si>
  <si>
    <t>Rates (b)</t>
  </si>
  <si>
    <t>Premium (e)</t>
  </si>
  <si>
    <t>Modification (f)</t>
  </si>
  <si>
    <t>Rates</t>
  </si>
  <si>
    <t>Audits (g)</t>
  </si>
  <si>
    <t>Factor (h)</t>
  </si>
  <si>
    <t>See Exhibit 5.1.</t>
  </si>
  <si>
    <t>Based on WCIRB calendar year experience calls.  The industry average charged rates reflect most rating plan adjustments but do not reflect</t>
  </si>
  <si>
    <t>the application of deductible credits or retrospective rating plan adjustments.</t>
  </si>
  <si>
    <t>Based on unit statistical data.</t>
  </si>
  <si>
    <t xml:space="preserve">Based on average promulgated experience modifications.  Calendar years 1996 through 2000 include adjustments for the impacts of </t>
  </si>
  <si>
    <t>AB 1913 and SB 1217 (1998).</t>
  </si>
  <si>
    <t>(g)</t>
  </si>
  <si>
    <t>Based on a comparison of premium reported on a calendar year basis to premium reported on an estimated ultimate policy year basis over</t>
  </si>
  <si>
    <t>(h)</t>
  </si>
  <si>
    <t>Annual %</t>
  </si>
  <si>
    <t>Annual Log Differences</t>
  </si>
  <si>
    <t>Changes Intra-</t>
  </si>
  <si>
    <t>Intra-Class Indemnity Frequency</t>
  </si>
  <si>
    <t>AY+1</t>
  </si>
  <si>
    <t>Economic</t>
  </si>
  <si>
    <t>Class Ind Freq</t>
  </si>
  <si>
    <t>Variables</t>
  </si>
  <si>
    <t>AY</t>
  </si>
  <si>
    <t>Non-cum.</t>
  </si>
  <si>
    <t>Benefit Level</t>
  </si>
  <si>
    <t>Injury Index</t>
  </si>
  <si>
    <t>(1st Prin. Comp.)</t>
  </si>
  <si>
    <t>Y = Hazardousness-Adjusted Noncumulative Indemnity Claim Frequency</t>
  </si>
  <si>
    <t>Constant</t>
  </si>
  <si>
    <t>Std Err of Y Est</t>
  </si>
  <si>
    <t>R Squared</t>
  </si>
  <si>
    <t>No. of Observations</t>
  </si>
  <si>
    <t>Degrees of Freedom</t>
  </si>
  <si>
    <t>X Coefficient(s)</t>
  </si>
  <si>
    <t>Std Err of Coef.</t>
  </si>
  <si>
    <t>Notes:</t>
  </si>
  <si>
    <t>Projection of Indemnity Severity Trends by Accident Year</t>
  </si>
  <si>
    <t>Estimated</t>
  </si>
  <si>
    <t xml:space="preserve">Accident </t>
  </si>
  <si>
    <t>Severity</t>
  </si>
  <si>
    <t>% Change</t>
  </si>
  <si>
    <t>(1) x (3)</t>
  </si>
  <si>
    <t>Projection of Medical Severity Trends by Accident Year</t>
  </si>
  <si>
    <t>Severity (a)</t>
  </si>
  <si>
    <t>Factor (b)</t>
  </si>
  <si>
    <t>Adjusted to Remove the Cost of Medical Cost Containment Programs (MCCP)</t>
  </si>
  <si>
    <t>MCCP Removed Based on</t>
  </si>
  <si>
    <t>WCIRB Aggregate</t>
  </si>
  <si>
    <t>MCCP Included</t>
  </si>
  <si>
    <t>Calendar Year Data Calls (b)</t>
  </si>
  <si>
    <t>(8)</t>
  </si>
  <si>
    <t>(9)</t>
  </si>
  <si>
    <t>On-Level</t>
  </si>
  <si>
    <t>Severity (c)</t>
  </si>
  <si>
    <t>Selected Medical Severity Trend:</t>
  </si>
  <si>
    <t>Projected On-Level Accident Year</t>
  </si>
  <si>
    <t>On-Level Indemnity to</t>
  </si>
  <si>
    <t>Developed Indemnity</t>
  </si>
  <si>
    <t>Composite Indemnity</t>
  </si>
  <si>
    <t>Composite Premium</t>
  </si>
  <si>
    <t>Pure Premium Ratio</t>
  </si>
  <si>
    <t>(1)×(2)÷(3)</t>
  </si>
  <si>
    <t>Projections (d)</t>
  </si>
  <si>
    <t>See Exhibit 4.1.</t>
  </si>
  <si>
    <t>See Exhibit 5.2.</t>
  </si>
  <si>
    <t>On-Level Medical to</t>
  </si>
  <si>
    <t>Developed Medical</t>
  </si>
  <si>
    <t>Composite Medical</t>
  </si>
  <si>
    <t>1.</t>
  </si>
  <si>
    <t>Projected Loss Adjustment Expense Factor</t>
  </si>
  <si>
    <t>4.</t>
  </si>
  <si>
    <t>Factor</t>
  </si>
  <si>
    <t>MCCP</t>
  </si>
  <si>
    <t>Estimated Annual Exponential Trend</t>
  </si>
  <si>
    <t>ALAE</t>
  </si>
  <si>
    <t>ULAE</t>
  </si>
  <si>
    <t>Frequency Adj (Exh 6.1)</t>
  </si>
  <si>
    <t>Projection Assumptions</t>
  </si>
  <si>
    <t>Severity Trend (Exh 6.4)</t>
  </si>
  <si>
    <t>3-Year Average</t>
  </si>
  <si>
    <t>Source:  Accident year experience of insurers with available claim count data</t>
  </si>
  <si>
    <t>Severity Trend (Exh 6.2)</t>
  </si>
  <si>
    <t>Shown for informational purposes only.</t>
  </si>
  <si>
    <t>Incurred medical loss development factors include the paid cost of medical cost containment programs for accident years 2011 and prior.</t>
  </si>
  <si>
    <t>Paid medical loss development factors include the paid cost of medical cost containment programs for accident years 2011 and prior.</t>
  </si>
  <si>
    <t>See Exhibits 2.5.1 and 2.5.2.</t>
  </si>
  <si>
    <t>Source:</t>
  </si>
  <si>
    <t>Age-to-Age (in months) (b)</t>
  </si>
  <si>
    <t>Weight</t>
  </si>
  <si>
    <t>Evaluated as of (in months)</t>
  </si>
  <si>
    <t>Medical**</t>
  </si>
  <si>
    <t>Reform Adjusted</t>
  </si>
  <si>
    <t>See Exhibits 2.6.1 and 2.6.2.</t>
  </si>
  <si>
    <t xml:space="preserve">Based on WCIRB evaluations of the average impact of legislative changes on the cost of indemnity benefits.  These annual changes in benefits reflect the WCIRB's retrospective estimates of the cost impact of recent legislation as reflected in emerging post-reform costs.  The annual cost impacts have been segregated between claim severity and claim frequency impacts. </t>
  </si>
  <si>
    <t>From a Special Carrier Study through 1990. Based on WCIRB's Aggregate Indemnity and Medical Costs Calls for years 1991 through 2012. Based on WCIRB medical transaction data from 2013 onwards. Accident years 2011 and subsequent do not include MCCP costs.</t>
  </si>
  <si>
    <r>
      <t xml:space="preserve">Projected Ultimate 
</t>
    </r>
    <r>
      <rPr>
        <u/>
        <sz val="10"/>
        <rFont val="Arial"/>
        <family val="2"/>
      </rPr>
      <t>Loss Ratio</t>
    </r>
  </si>
  <si>
    <t>(4) = (1) x (3)</t>
  </si>
  <si>
    <t>On-Level Ratio*</t>
  </si>
  <si>
    <t>5.</t>
  </si>
  <si>
    <t>Developed</t>
  </si>
  <si>
    <t>Loss Ratio (b)</t>
  </si>
  <si>
    <t>Loss Ratio (d)</t>
  </si>
  <si>
    <t>2.</t>
  </si>
  <si>
    <t>3.</t>
  </si>
  <si>
    <r>
      <t xml:space="preserve">Accident
</t>
    </r>
    <r>
      <rPr>
        <u/>
        <sz val="10"/>
        <rFont val="Arial"/>
        <family val="2"/>
      </rPr>
      <t>Year</t>
    </r>
  </si>
  <si>
    <t>Age</t>
  </si>
  <si>
    <t>Freq</t>
  </si>
  <si>
    <t>Sev</t>
  </si>
  <si>
    <t>Frequency Adj (Exh 7.1)</t>
  </si>
  <si>
    <t>Projected:</t>
  </si>
  <si>
    <t>N/A</t>
  </si>
  <si>
    <t>Loss Ratio (a)</t>
  </si>
  <si>
    <t>Adjustment Factor (b)</t>
  </si>
  <si>
    <t>Adjustment Factor (c)</t>
  </si>
  <si>
    <t>On-Level Factor (b)</t>
  </si>
  <si>
    <t>Pure Premium Ratio (e)</t>
  </si>
  <si>
    <t>Accident years 2011 and subsequent do not reflect the paid MCCP costs.  Accident years 2010 and prior do reflect paid MCCP costs.</t>
  </si>
  <si>
    <t xml:space="preserve">         Aggregate Indemnity and Medical Costs.</t>
  </si>
  <si>
    <t>Level Change (a)</t>
  </si>
  <si>
    <t>Medical (b)</t>
  </si>
  <si>
    <t>Medical (c)</t>
  </si>
  <si>
    <t>Medical Severity (a)</t>
  </si>
  <si>
    <t>Frequency Changes (b)</t>
  </si>
  <si>
    <t>Impact on Medical (c)</t>
  </si>
  <si>
    <t>Annual (c)</t>
  </si>
  <si>
    <t>Annual (b)</t>
  </si>
  <si>
    <t>AYE</t>
  </si>
  <si>
    <t>Exhibit 2.5.3</t>
  </si>
  <si>
    <t>Exhibit 2.5.4</t>
  </si>
  <si>
    <t>Exhibit 2.5.5</t>
  </si>
  <si>
    <t>Exhibit 2.5.6</t>
  </si>
  <si>
    <t>Freq on Exh 6.1</t>
  </si>
  <si>
    <r>
      <t xml:space="preserve">Paid Loss </t>
    </r>
    <r>
      <rPr>
        <u/>
        <sz val="10"/>
        <rFont val="Arial"/>
        <family val="2"/>
      </rPr>
      <t>Ratio (a)</t>
    </r>
  </si>
  <si>
    <t>Paid</t>
  </si>
  <si>
    <t>(2) x (4)</t>
  </si>
  <si>
    <t>(1) + ((5) - (2))</t>
  </si>
  <si>
    <t>Unadjusted (c)</t>
  </si>
  <si>
    <t>LAE</t>
  </si>
  <si>
    <t>3-Year Historical Avg.</t>
  </si>
  <si>
    <t>Ratio of closed indemnity claim counts (Item 1) to the estimated ultimate indemnity claim counts (Item 2) for that accident year.</t>
  </si>
  <si>
    <t>Paid Loss Development Factors</t>
  </si>
  <si>
    <t>Adjusted for the Impact of Claim Settlement Rate</t>
  </si>
  <si>
    <t>2.  Ult. Claim Counts (a)</t>
  </si>
  <si>
    <t>3. Ultimate Indemnity Claim Settlement Ratio (b)</t>
  </si>
  <si>
    <t>4. Ratio of Incremental Closed Indemnity Claims to Estimated Prior Open Indemnity Claims (c)</t>
  </si>
  <si>
    <t>Share of Open on Prior (d)</t>
  </si>
  <si>
    <t>Equal to 1.0 minus the selected ratio of incremental closed indemnity claims to prior open indemnity claims from Item 4.</t>
  </si>
  <si>
    <t>Equal to [the difference in ultimate indemnity claim settlement ratios from the prior evaluation (Item 3)] divided by</t>
  </si>
  <si>
    <t>[1.0 less the ultimate indemnity claim settlement ratio from the prior evaluation].</t>
  </si>
  <si>
    <t>1.  Reported Closed Indemnity Claim Counts</t>
  </si>
  <si>
    <t>5.  Projected Open + IBNR Indemnity Claim Counts (e)</t>
  </si>
  <si>
    <t>…</t>
  </si>
  <si>
    <t>Equal to the Projected Open + IBNR Indemnity Claim Counts (Item 5) divided by the Ultimate Indemnity Claim Counts (Item 2).</t>
  </si>
  <si>
    <t>The italicized diagonals are based on historical data while the remaining figures are projections.</t>
  </si>
  <si>
    <t>Equal to the Ratio of Projected Open Claim Counts to Ultimate Claim Counts (Item 6) divided by the three-year historical average.</t>
  </si>
  <si>
    <t>6. Ratio of Projected Open Claim Counts to Ultimate Claim Counts (f)</t>
  </si>
  <si>
    <t>7. Ratio of Projected Percent Open to Historical Percent Open (g)</t>
  </si>
  <si>
    <t>9.  Adjustment Ratio (i)</t>
  </si>
  <si>
    <t>Age-to-Age Paid Development (in months):</t>
  </si>
  <si>
    <t>Indemnity development factors are from Exhibit 2.3.2. Medical development factors are from Exhibit 2.4.2 and include</t>
  </si>
  <si>
    <t>Equal to the Ratio of Projected Percent Open to Historical Percent Open (Item 7) for the given accident year, with the</t>
  </si>
  <si>
    <t>Equal to the [three year average factors (Item 8) - 1.0] multiplied by the Adjustment Ratio (Item 9), and adding 1.0.</t>
  </si>
  <si>
    <t>10.  Adjusted Factors (j)</t>
  </si>
  <si>
    <t>8.  3-Year Average (h)</t>
  </si>
  <si>
    <t>Adjusted (a)(b)</t>
  </si>
  <si>
    <t>Based on Exhibit 1.</t>
  </si>
  <si>
    <t>Based on Exhibit 1. Paid MCCP costs are excluded from accident years 2011 and subsequent.</t>
  </si>
  <si>
    <t>Cumulative (c)</t>
  </si>
  <si>
    <t>The italicized diagonal is equal to the Ultimate Indemnity Claim Counts (Item 2) less the Reported Closed Indemnity</t>
  </si>
  <si>
    <t>Claim Counts (Item 1) as of the latest evaluation. The remaining figures are projected based on the italicized diagonal and</t>
  </si>
  <si>
    <t>the Share of Open on Prior from Item 4.</t>
  </si>
  <si>
    <t>Trend**</t>
  </si>
  <si>
    <t>Selected Indemnity Severity Trend:</t>
  </si>
  <si>
    <t>Level Change (b)</t>
  </si>
  <si>
    <t>Wage Level (c)</t>
  </si>
  <si>
    <t xml:space="preserve">(c) </t>
  </si>
  <si>
    <t>The Indemnity Benefit Level variable is concurrent. The AY 2004 benefit level change is related to the AY 2004 change in non-cumulative frequency.</t>
  </si>
  <si>
    <t>The Indemnity Benefit Level variable excludes indemnity benefit utilization, cost-of-living adjustments, and changes in the death and permanent total benefits.</t>
  </si>
  <si>
    <t>Severities for accident years 2011 and subsequent do not reflect the cost of medical cost containment programs (MCCP). Severities for accident years 2010 and prior do reflect MCCP costs.</t>
  </si>
  <si>
    <t xml:space="preserve">   (a) Estimated ultimate severities for all accident years were derived by dividing ultimate medical losses on indemnity claims by ultimate indemnity claim counts.</t>
  </si>
  <si>
    <t xml:space="preserve">   (b) Adjustments to accident years 2005 through 2010 based on WCIRB’s Annual Calls for Direct California Workers’ Compensation</t>
  </si>
  <si>
    <t xml:space="preserve">   (c) Ultimate severities are on-leveled based on adjustment factors shown on Exhibit 6.3.</t>
  </si>
  <si>
    <t>The impact of the 2021 changes to the Official Medical Fee Schedule and Medical-Legal Fee Schedule is applied to accident years 2012 and prior, which are not reflected in the medical loss development projections.</t>
  </si>
  <si>
    <t>reported premiums were impacted by recessionary economic forces.</t>
  </si>
  <si>
    <t>These factors are adjusted for the impact of pharmaceutical cost reductions through 2018 and the 2021 changes to the Official Medical Fee Schedule and Medical-Legal Fee Schedule in order to bring the historical payments to the current pharmaceutical and medical service cost level.</t>
  </si>
  <si>
    <t>The developed medical loss ratios shown were derived based on an adjustment for pharmaceutical cost reductions and 2021 medical fee schedule changes. They are only for purposes of projecting future medical loss ratios and do not reflect true estimates of ultimate loss ratios for those accident years.</t>
  </si>
  <si>
    <t>Based on the WCIRB's evaluation of the cost impact of changes in the medical fee schedules. Does not include the impact of the 2021 changes to the Official Medical Fee Schedule and Medical-Legal Fee Schedule, which are reflected in the medical loss development projections for accident years 2013 and later.</t>
  </si>
  <si>
    <t xml:space="preserve">----- </t>
  </si>
  <si>
    <t>Projected Loss to Advisory Pure Premium Ratio
(See Exhibits 7.1 and 7.3)</t>
  </si>
  <si>
    <t>Based on Column (2) for 2020 through 2022 and Column (1) for all other years.</t>
  </si>
  <si>
    <t>Approved Pure</t>
  </si>
  <si>
    <t>Premium Rate</t>
  </si>
  <si>
    <t>Level as of</t>
  </si>
  <si>
    <t>to Approved</t>
  </si>
  <si>
    <t>(2b) ÷ (2a).  This column adjusts premiums at the industry average charged rate level to the approved advisory pure premium</t>
  </si>
  <si>
    <t>the course of two accident years.  The factor is applied only for calendar years 2007 to 2010 and 2020 to 2022, during which</t>
  </si>
  <si>
    <t>(1)x(2c)x(3)x(6) ÷ [(4)x(5)] for calendar years 2007 to 2010 and 2020 to 2022.  (1)x(2c)x(3) ÷ [(4)x(5)] for all other calendar years.</t>
  </si>
  <si>
    <t>Indemnity Loss to Pure Premium Ratios</t>
  </si>
  <si>
    <t xml:space="preserve">On-Level Indemnity Loss to Pure Premium Ratios </t>
  </si>
  <si>
    <t>Medical Loss to Pure Premium Ratios</t>
  </si>
  <si>
    <t xml:space="preserve">On-Level Medical Loss to Pure Premium Ratios </t>
  </si>
  <si>
    <t>Indicated Loss to Pure Premium Ratios</t>
  </si>
  <si>
    <t>These impacts are based on the weekly wages (see Exhibit 5.1) of injured workers and the legislatively scheduled benefits for that year.</t>
  </si>
  <si>
    <t>* On-level indemnity to pure premium ratios (see Exhibit 7.1)</t>
  </si>
  <si>
    <t>* On-level medical to pure premium ratios (see Exhibit 7.3)</t>
  </si>
  <si>
    <t>per $M Exposure at PY 2021 Level</t>
  </si>
  <si>
    <t>WCIRB quarterly experience calls. COVID-19 claims and COVID-19 premium charges are excluded from 2020 to 2022.</t>
  </si>
  <si>
    <t>9/1/2025</t>
  </si>
  <si>
    <t>2022*</t>
  </si>
  <si>
    <t>*AY 2022 is preliminary and change is based on a comparison of 2022 accidents on 2021 policies to 2021 accidents on 2020 policies.</t>
  </si>
  <si>
    <t>Selected (d)</t>
  </si>
  <si>
    <t xml:space="preserve">(a) </t>
  </si>
  <si>
    <t xml:space="preserve">(b) </t>
  </si>
  <si>
    <t xml:space="preserve">(d) </t>
  </si>
  <si>
    <t xml:space="preserve">(h) </t>
  </si>
  <si>
    <t xml:space="preserve">(i) </t>
  </si>
  <si>
    <t xml:space="preserve">(j) </t>
  </si>
  <si>
    <t xml:space="preserve">(f) </t>
  </si>
  <si>
    <t xml:space="preserve">(g) </t>
  </si>
  <si>
    <t xml:space="preserve">(e) </t>
  </si>
  <si>
    <t>adjustments for changes in pharmaceutical costs and the 2021 medical fee schedule updates.</t>
  </si>
  <si>
    <t>These adjustment factors are based on Exhibit 4.4, excluding the impact of frequency, and including the impact of 2021 changes to the Official Medical Fee Schedule and Medical-Legal Fee Schedule, applicable to outstanding medical losses.</t>
  </si>
  <si>
    <t>Reflects approved advisory pure premium rate level changes to bring premium to the advisory September 1, 2023 pure premium rate level.</t>
  </si>
  <si>
    <t>As of PY 2021 Preliminary 1st Set &amp; March 2024 UCLA</t>
  </si>
  <si>
    <t>Selected (b)</t>
  </si>
  <si>
    <t>Wage level changes for 2020 to 2022 were adjusted for estimated shifts in industrial mix and shifts in the wage level mix within industries impacting average wages in order to more appropriately project changes in average wages for the typical worker.</t>
  </si>
  <si>
    <t>Source: WCIRB quarterly experience calls, excluding COVID-19 claims for accident years 2020 to 2023.</t>
  </si>
  <si>
    <t>A 3-year average of the ratio of paid losses to incurred losses at 120 months is selected to convert incurred development to paid development.</t>
  </si>
  <si>
    <t>Developed Indemnity Loss Ratios Using Selected Paid Loss Development Factors</t>
  </si>
  <si>
    <t>Developed Indemnity Loss Ratios Using Selected Incurred Loss Development Factors</t>
  </si>
  <si>
    <t>Developed Medical Loss Ratios Using Selected Paid Loss Development Factors</t>
  </si>
  <si>
    <t>Developed Medical Loss Ratios Using Selected Incurred Loss Development Factors</t>
  </si>
  <si>
    <r>
      <t xml:space="preserve">Selected Ultimate 
</t>
    </r>
    <r>
      <rPr>
        <u/>
        <sz val="10"/>
        <rFont val="Arial"/>
        <family val="2"/>
      </rPr>
      <t>Loss Ratio (c)</t>
    </r>
  </si>
  <si>
    <t>Selected</t>
  </si>
  <si>
    <r>
      <t xml:space="preserve">Paid or Incurred
</t>
    </r>
    <r>
      <rPr>
        <u/>
        <sz val="10"/>
        <rFont val="Arial"/>
        <family val="2"/>
      </rPr>
      <t>Loss Ratio (a)</t>
    </r>
  </si>
  <si>
    <t>Paid or</t>
  </si>
  <si>
    <t>Incurred</t>
  </si>
  <si>
    <t>Adjusted Paid</t>
  </si>
  <si>
    <t>or Incurred</t>
  </si>
  <si>
    <t>Estimated ultimate severities for all accident years are derived by dividing ultimate medical losses on indemnity claims by ultimate indemnity claim counts. The estimated ultimate medical severities were derived from the projected ultimate loss ratios shown in Exhibit 3.4, column (7).</t>
  </si>
  <si>
    <t>Indicated Total Loss and Loss Adjustment Expense to Industry Average Filed Pure Premium Ratio
(1) x (2)</t>
  </si>
  <si>
    <t>Indicated Overall Change in Advisory Pure Premium Rates
[(3) x [(4) + 1.0] - 1.0]</t>
  </si>
  <si>
    <t>Based on the latest year age-to-age development in indemnity claim counts.</t>
  </si>
  <si>
    <t>Selected (f)</t>
  </si>
  <si>
    <t>Cumulative (b)</t>
  </si>
  <si>
    <t>Selected ultimate loss ratio is the average of the projection in column 4 and the</t>
  </si>
  <si>
    <t>projection in Exhibit 3.1, column 4.</t>
  </si>
  <si>
    <t>Loss Ratio (e)</t>
  </si>
  <si>
    <t>Reflects the WCIRB’s most recent estimates of the cost impact of legislation. Does not include the estimated reductions to pharmaceutical costs attributable to SB 863, which are reflected in the medical loss development projections.</t>
  </si>
  <si>
    <t>Historical wage changes through 2023 are based on Bureau of Labor Statistics (BLS) data. The 2022 wage change is based on the average of the BLS Current Employment Statistics hourly and weekly wage estimates. Forecasts for 2024 and forward are based on the average of wage level projections made by the UCLA Anderson School of Business as of March 2024 and those made by the California Department of Finance as of November 2023.</t>
  </si>
  <si>
    <t>Accident Year Indemnity Claim Frequency Model</t>
  </si>
  <si>
    <t>Economic variables are historical through 2023; March 2024 UCLA Anderson Forecasts for 2024 on.</t>
  </si>
  <si>
    <t>Regression is over AY 1979 through AY 2019. AY 2023 through AY 2026 are projections.</t>
  </si>
  <si>
    <t>(b) These adjustment factors are based on Exhibit 4.1, excluding the impact of frequency.</t>
  </si>
  <si>
    <t>(a) The estimated ultimate indemnity severities were derived from the projected ultimate loss ratios shown</t>
  </si>
  <si>
    <t>in Exhibit 3.2, Column (5).</t>
  </si>
  <si>
    <t>See Exhibit 3.2.</t>
  </si>
  <si>
    <t>See Exhibit 3.4. Medical loss ratios for accident years 2011 and subsequent do not reflect the cost of medical cost containment programs (MCCP). Ratios for accident years 2010 and prior do reflect MCCP costs.</t>
  </si>
  <si>
    <t>Based on Column (4) of Exhibit 4.4 for 2014 and prior and the average of Columns (4) and (5) of Exhibit 4.4 for 2015 and later.</t>
  </si>
  <si>
    <t>Factor (e)</t>
  </si>
  <si>
    <t>Selected developed loss ratio is the average of the projection in column 5 and the projection in Exhibit 3.3, column 5.</t>
  </si>
  <si>
    <t>(ULAE + ALAE + MCCP, See Appendix C)</t>
  </si>
  <si>
    <t>Changes on Later-Period Development</t>
  </si>
  <si>
    <t>difference from 1.0 adjusted by 40% to reflect the estimated impact of claim settlement rate changes on later-period development.</t>
  </si>
  <si>
    <t>These factors are based on the medical on-level adjustments shown in Column (3) but include the full impact of the SB 863 reforms and 2021 changes to medical-legal fee schedules for use in projections that do not reflect the impact of these changes in adjustments to loss development.</t>
  </si>
  <si>
    <t>For 1993 on, cumulative claims include both cumulative trauma and occupational disease claims. See Item III of the March 19th, 2014 Actuarial Committee Agenda.</t>
  </si>
  <si>
    <t>Selections are latest year for the 12-to-24 month through 96-to-108 month factors and six-year average for the subsequent age-to-age factors.</t>
  </si>
  <si>
    <t>The ULT/468Inc tail factor was calculated based on an inverse power curve fit to a six-year average of the 108-to-120 through 348-to-360 factors, excluding the 2016, 2017, and 2018 evaluations, and extrapolated to 80 development years.</t>
  </si>
  <si>
    <t>Selections are latest year for the 12-to-24 month through 96-to-108 month factors and three-year average for the subsequent age-to-age factors.</t>
  </si>
  <si>
    <t>The ULT/468Pd tail factor was calculated based on an inverse power curve fit to a four-year average of the 108-to-120 through 348-to-360 factors and extrapolated to 80 development years.</t>
  </si>
  <si>
    <t>These factors are adjusted for the impact of pharmaceutical cost reductions through 2018 and the 2021 changes to the Official Medical Fee Schedule and Medical-Legal Fee</t>
  </si>
  <si>
    <t xml:space="preserve"> Schedule in order to bring the historical payments to the current pharmaceutical and medical service cost level.</t>
  </si>
  <si>
    <t>The ULT/468Pd tail factor was calculated based on an inverse power curve fit to a four-year average of the 108-to-120 through 348-to-360 adjusted factors and extrapolated to 80 development years.</t>
  </si>
  <si>
    <t>Selections are latest year for the 12-to-24 month through 96-to-108 month factors and three-year averages for the subsequent paid age-to-age factors.</t>
  </si>
  <si>
    <t>Adjusted for the impact of changes in claim settlement rates on later-period development for 312 months and later. See Exhibits 2.5.3 through 2.5.6.</t>
  </si>
  <si>
    <t>Accident Year 2022</t>
  </si>
  <si>
    <t>Accident Year 2023</t>
  </si>
  <si>
    <t>24/12</t>
  </si>
  <si>
    <t>36/24</t>
  </si>
  <si>
    <t>48/36</t>
  </si>
  <si>
    <t>60/48</t>
  </si>
  <si>
    <t>72/60</t>
  </si>
  <si>
    <t>84/72</t>
  </si>
  <si>
    <t>96/84</t>
  </si>
  <si>
    <t>108/96</t>
  </si>
  <si>
    <t>120/108</t>
  </si>
  <si>
    <t>132/120</t>
  </si>
  <si>
    <t>144/132</t>
  </si>
  <si>
    <t>156/144</t>
  </si>
  <si>
    <t>168/156</t>
  </si>
  <si>
    <t>180/168</t>
  </si>
  <si>
    <t>192/180</t>
  </si>
  <si>
    <t>204/192</t>
  </si>
  <si>
    <t>216/204</t>
  </si>
  <si>
    <t>228/216</t>
  </si>
  <si>
    <t>240/228</t>
  </si>
  <si>
    <t>252/240</t>
  </si>
  <si>
    <t>264/252</t>
  </si>
  <si>
    <t>120Pd/Inc (e)</t>
  </si>
  <si>
    <t>276/264</t>
  </si>
  <si>
    <t>288/276</t>
  </si>
  <si>
    <t>300/288</t>
  </si>
  <si>
    <t>312/300</t>
  </si>
  <si>
    <t>324/312</t>
  </si>
  <si>
    <t>336/324</t>
  </si>
  <si>
    <t>348/336</t>
  </si>
  <si>
    <t>360/348</t>
  </si>
  <si>
    <t>372/360</t>
  </si>
  <si>
    <t>384/372</t>
  </si>
  <si>
    <t>396/384</t>
  </si>
  <si>
    <t>408/396</t>
  </si>
  <si>
    <t>420/408</t>
  </si>
  <si>
    <t>432/420</t>
  </si>
  <si>
    <t>444/432</t>
  </si>
  <si>
    <t>456/444</t>
  </si>
  <si>
    <t>468/456</t>
  </si>
  <si>
    <t>ULT/468Pd (g)</t>
  </si>
  <si>
    <t>Based on Exhibit 1. Paid loss ratios are shown for accident years 2014 and prior</t>
  </si>
  <si>
    <t>while incurred loss ratios are show for accident years 2015 and later.</t>
  </si>
  <si>
    <t>Based on experience evaluated as of December 31, 2023. Reflects adjustments for the pharmaceutical cost reductions through 2018 and 2021 changes to the Official Medical Fee Schedule (OMFS) and Medical-Legal</t>
  </si>
  <si>
    <t>Fee Schedule (MLFS), restating the historical medical paid-to-date ratios at a 2018 pharmaceutical cost level and a 2021 OMFS and MLFS level.</t>
  </si>
  <si>
    <t>Based on Exhibit 1. Paid loss ratios are shown for accident years 2014 and prior while incurred loss ratios are shown for accident years 2015 and later. Paid MCCP costs are excluded from accident years 2011 and subsequent.</t>
  </si>
  <si>
    <t>Based on experience evaluated as of December 31, 2023. Paid loss ratios reflect adjustments for the pharmaceutical cost reductions through 2018 and 2021 changes to the Official Medical Fee Schedule (OMFS) and Medical-Legal Fee Schedule</t>
  </si>
  <si>
    <t>(MLFS), restating the historical medical paid-to-date ratios at a 2018 pharmaceutical cost level and a 2021 OMFS and MLFS level.</t>
  </si>
  <si>
    <t>(Annual 0.4)</t>
  </si>
  <si>
    <t>(Annual 2.3)</t>
  </si>
  <si>
    <t>These factors represent the combined impact of the annual benefit changes on claim severity shown in Column (1), claim frequencies shown in Column (2) and wage inflation impact on benefits shown in Column (3), adjusted to the 9/1/2025 level.</t>
  </si>
  <si>
    <t>(Annual 0.0%)</t>
  </si>
  <si>
    <t>(Annual 4.2%)</t>
  </si>
  <si>
    <t>These factors adjust the annual impact shown in Column (3) to the 9/1/2025 level.</t>
  </si>
  <si>
    <t>(Annual = 3.7)</t>
  </si>
  <si>
    <t>Sept. 1, 2023</t>
  </si>
  <si>
    <t>Sept. 1, 2023 (c)</t>
  </si>
  <si>
    <t>Sept. 1, 2023 (d)</t>
  </si>
  <si>
    <t>rate level as of September 1, 2023.</t>
  </si>
  <si>
    <t>Estimated Annual Exponential Trend Based on 1990 to 2023:</t>
  </si>
  <si>
    <t>Estimated Annual Exponential Trend Based on 2005 to 2023:</t>
  </si>
  <si>
    <t>Estimated Annual Exponential Trend Based on 2019 to 2023:</t>
  </si>
  <si>
    <t>Trend Based on 1990 to 2023:</t>
  </si>
  <si>
    <t>Trend Based on 2005 to 2023:</t>
  </si>
  <si>
    <t>Trend Based on 2019 to 2023:</t>
  </si>
  <si>
    <t>The trending projection is based on frequency and severity growth separately applied to the 2022 and 2023 on-level ratios. The frequency growth estimates are based on the intra-class frequency changes for accident year 2023 from Appendix B, Exhibit 2 and frequency model projections for accident years 2024 to 2026 from Exhibit 6.1. The annual indemnity severity growth estimates are from Exhibit 6.2.</t>
  </si>
  <si>
    <t>** The 9/1/2025 indemnity to pure premium ratio was calculated based on separate frequency and severity trends applied to the 2022 and 2023 years.</t>
  </si>
  <si>
    <t>The trending projection is based on frequency and severity growth separately applied to the 2022 and 2023 on-level ratios. The frequency growth estimates are based on the intra-class frequency changes for accident year 2023 from Appendix B, Exhibit 2 and frequency model projections for accident years 2024 to 2026 from Exhibit 6.1. The annual medical severity growth estimates are from Exhibit 6.4.</t>
  </si>
  <si>
    <t>** The 9/1/2025 medical to pure premium ratio was calculated based on separate frequency and severity trends applied to the 2022 and 2023 years.</t>
  </si>
  <si>
    <t>Accident Year Experience as of December 31, 2023</t>
  </si>
  <si>
    <t>120Pd/Inc (c)</t>
  </si>
  <si>
    <t>Based on Experience as of December 31, 2023</t>
  </si>
  <si>
    <t>For Policies with Effective Dates between September 1, 2024 and August 31, 2025</t>
  </si>
  <si>
    <t>Difference in Off-Balance Factor
(See Section C, Appendix B of the WCIRB's September 1, 2024 Regulatory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</si>
</sst>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00"/>
    <numFmt numFmtId="165" formatCode="#,##0.000"/>
    <numFmt numFmtId="166" formatCode="#,##0.00000"/>
    <numFmt numFmtId="167" formatCode="0.0"/>
    <numFmt numFmtId="168" formatCode="0.0%"/>
    <numFmt numFmtId="169" formatCode="0.0%\ \ \ \ \ \ \ \ "/>
    <numFmt numFmtId="170" formatCode="0.000\ \ \ \ \ \ \ \ "/>
    <numFmt numFmtId="171" formatCode="0.0000"/>
    <numFmt numFmtId="172" formatCode="General\ \ \ \ \ \ \ \ "/>
    <numFmt numFmtId="173" formatCode="#,##0.000000"/>
    <numFmt numFmtId="174" formatCode="_(* #,##0_);_(* \(#,##0\);_(* &quot;-&quot;??_);_(@_)"/>
    <numFmt numFmtId="175" formatCode="_(* #,##0.000_);_(* \(#,##0.000\);_(* &quot;-&quot;??_);_(@_)"/>
  </numFmts>
  <fonts count="26">
    <font>
      <sz val="11"/>
      <color theme="1"/>
      <name val="Calibri"/>
      <family val="2"/>
      <scheme val="minor"/>
    </font>
    <font>
      <sz val="10"/>
      <color theme="1"/>
      <name val="Arial"/>
      <family val="2"/>
    </font>
    <font>
      <sz val="10"/>
      <name val="Arial"/>
      <family val="2"/>
    </font>
    <font>
      <b/>
      <sz val="10"/>
      <name val="Arial"/>
      <family val="2"/>
    </font>
    <font>
      <u/>
      <sz val="10"/>
      <name val="Arial"/>
      <family val="2"/>
    </font>
    <font>
      <sz val="10"/>
      <name val="Univers 55"/>
    </font>
    <font>
      <b/>
      <u/>
      <sz val="10"/>
      <name val="Arial"/>
      <family val="2"/>
    </font>
    <font>
      <i/>
      <sz val="10"/>
      <name val="Arial"/>
      <family val="2"/>
    </font>
    <font>
      <sz val="11"/>
      <color theme="1"/>
      <name val="Calibri"/>
      <family val="2"/>
      <scheme val="minor"/>
    </font>
    <font>
      <sz val="10"/>
      <color rgb="FFFF0000"/>
      <name val="Arial"/>
      <family val="2"/>
    </font>
    <font>
      <sz val="10"/>
      <color rgb="FF00B0F0"/>
      <name val="Arial"/>
      <family val="2"/>
    </font>
    <font>
      <sz val="10"/>
      <color rgb="FF0070C0"/>
      <name val="Arial"/>
      <family val="2"/>
    </font>
    <font>
      <sz val="10"/>
      <color theme="1"/>
      <name val="Arial"/>
      <family val="2"/>
    </font>
    <font>
      <u/>
      <sz val="10"/>
      <color theme="1"/>
      <name val="Arial"/>
      <family val="2"/>
    </font>
    <font>
      <sz val="10"/>
      <name val="Univers 55"/>
      <family val="2"/>
    </font>
    <font>
      <sz val="11"/>
      <color rgb="FF0070C0"/>
      <name val="Calibri"/>
      <family val="2"/>
      <scheme val="minor"/>
    </font>
    <font>
      <sz val="11"/>
      <name val="Calibri"/>
      <family val="2"/>
      <scheme val="minor"/>
    </font>
    <font>
      <b/>
      <sz val="11"/>
      <color theme="1"/>
      <name val="Calibri"/>
      <family val="2"/>
      <scheme val="minor"/>
    </font>
    <font>
      <sz val="12"/>
      <name val="Arial"/>
      <family val="2"/>
    </font>
    <font>
      <sz val="9"/>
      <name val="Arial"/>
      <family val="2"/>
    </font>
    <font>
      <b/>
      <sz val="10"/>
      <color theme="1"/>
      <name val="Arial"/>
      <family val="2"/>
    </font>
    <font>
      <b/>
      <sz val="10"/>
      <color rgb="FFFF0000"/>
      <name val="Arial"/>
      <family val="2"/>
    </font>
    <font>
      <sz val="10"/>
      <color rgb="FF7030A0"/>
      <name val="Arial"/>
      <family val="2"/>
    </font>
    <font>
      <sz val="10"/>
      <color rgb="FF00B050"/>
      <name val="Arial"/>
      <family val="2"/>
    </font>
    <font>
      <i/>
      <sz val="10"/>
      <color rgb="FF0070C0"/>
      <name val="Arial"/>
      <family val="2"/>
    </font>
    <font>
      <u/>
      <sz val="10"/>
      <color rgb="FF0070C0"/>
      <name val="Arial"/>
      <family val="2"/>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2" fillId="0" borderId="0"/>
    <xf numFmtId="0" fontId="5"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2" fillId="0" borderId="0" applyFont="0" applyFill="0" applyBorder="0" applyAlignment="0" applyProtection="0"/>
    <xf numFmtId="0" fontId="14" fillId="0" borderId="0"/>
    <xf numFmtId="0" fontId="18" fillId="0" borderId="0"/>
    <xf numFmtId="43" fontId="18" fillId="0" borderId="0" applyFont="0" applyFill="0" applyBorder="0" applyAlignment="0" applyProtection="0"/>
  </cellStyleXfs>
  <cellXfs count="460">
    <xf numFmtId="0" fontId="0" fillId="0" borderId="0" xfId="0"/>
    <xf numFmtId="0" fontId="2" fillId="0" borderId="0" xfId="1" applyFont="1" applyFill="1" applyAlignment="1">
      <alignment horizontal="center"/>
    </xf>
    <xf numFmtId="164" fontId="9" fillId="0" borderId="0" xfId="1" applyNumberFormat="1" applyFont="1" applyFill="1" applyAlignment="1">
      <alignment horizontal="center"/>
    </xf>
    <xf numFmtId="0" fontId="2" fillId="0" borderId="0" xfId="1" applyFont="1" applyFill="1" applyAlignment="1">
      <alignment horizontal="right"/>
    </xf>
    <xf numFmtId="0" fontId="4" fillId="0" borderId="0" xfId="1" applyFont="1" applyFill="1" applyAlignment="1">
      <alignment horizontal="right"/>
    </xf>
    <xf numFmtId="0" fontId="2" fillId="0" borderId="0" xfId="1" applyFont="1" applyAlignment="1">
      <alignment horizontal="right" vertical="top"/>
    </xf>
    <xf numFmtId="0" fontId="4" fillId="0" borderId="0" xfId="1" applyFont="1" applyAlignment="1">
      <alignment horizontal="center"/>
    </xf>
    <xf numFmtId="0" fontId="2" fillId="0" borderId="0" xfId="1" applyFont="1" applyAlignment="1">
      <alignment horizontal="center"/>
    </xf>
    <xf numFmtId="165" fontId="2" fillId="0" borderId="0" xfId="1" applyNumberFormat="1" applyFont="1" applyAlignment="1">
      <alignment horizontal="center"/>
    </xf>
    <xf numFmtId="165" fontId="2" fillId="0" borderId="0" xfId="1" applyNumberFormat="1" applyFont="1" applyFill="1" applyAlignment="1">
      <alignment horizontal="center"/>
    </xf>
    <xf numFmtId="0" fontId="2" fillId="0" borderId="0" xfId="1" applyFont="1" applyFill="1"/>
    <xf numFmtId="0" fontId="4" fillId="0" borderId="0" xfId="1" applyFont="1" applyFill="1" applyAlignment="1">
      <alignment horizontal="left"/>
    </xf>
    <xf numFmtId="0" fontId="4" fillId="0" borderId="0" xfId="1" applyFont="1" applyFill="1" applyAlignment="1">
      <alignment horizontal="center"/>
    </xf>
    <xf numFmtId="0" fontId="2" fillId="0" borderId="0" xfId="1" quotePrefix="1" applyFont="1" applyFill="1" applyAlignment="1">
      <alignment horizontal="right" vertical="top"/>
    </xf>
    <xf numFmtId="165" fontId="2" fillId="0" borderId="0" xfId="1" applyNumberFormat="1" applyFont="1" applyFill="1"/>
    <xf numFmtId="0" fontId="2" fillId="0" borderId="0" xfId="1" applyFont="1" applyFill="1" applyAlignment="1">
      <alignment horizontal="right" vertical="top"/>
    </xf>
    <xf numFmtId="0" fontId="2" fillId="0" borderId="0" xfId="0" applyFont="1" applyAlignment="1">
      <alignment horizontal="centerContinuous"/>
    </xf>
    <xf numFmtId="0" fontId="4" fillId="0" borderId="0" xfId="0" applyFont="1" applyAlignment="1">
      <alignment horizontal="center"/>
    </xf>
    <xf numFmtId="0" fontId="2" fillId="0" borderId="0" xfId="0" quotePrefix="1" applyFont="1" applyAlignment="1">
      <alignment horizontal="center"/>
    </xf>
    <xf numFmtId="1" fontId="2" fillId="0" borderId="0" xfId="0" applyNumberFormat="1" applyFont="1" applyFill="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2" fillId="0" borderId="0" xfId="0" applyFont="1" applyAlignment="1">
      <alignment horizontal="center" vertical="top"/>
    </xf>
    <xf numFmtId="164" fontId="2" fillId="0" borderId="0" xfId="0" applyNumberFormat="1" applyFont="1" applyFill="1" applyBorder="1" applyAlignment="1">
      <alignment horizontal="center"/>
    </xf>
    <xf numFmtId="164" fontId="2" fillId="0" borderId="0" xfId="0" applyNumberFormat="1" applyFont="1" applyAlignment="1">
      <alignment horizontal="right"/>
    </xf>
    <xf numFmtId="0" fontId="2" fillId="0" borderId="0" xfId="0" applyFont="1" applyAlignment="1">
      <alignment vertical="top"/>
    </xf>
    <xf numFmtId="164" fontId="2" fillId="0" borderId="1" xfId="0" applyNumberFormat="1" applyFont="1" applyFill="1" applyBorder="1" applyAlignment="1">
      <alignment horizontal="center"/>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quotePrefix="1"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vertical="top"/>
    </xf>
    <xf numFmtId="10" fontId="2" fillId="0" borderId="0" xfId="5" applyNumberFormat="1" applyFont="1" applyFill="1" applyAlignment="1">
      <alignment horizontal="right"/>
    </xf>
    <xf numFmtId="0" fontId="2" fillId="0" borderId="0" xfId="0" applyFont="1" applyFill="1"/>
    <xf numFmtId="164" fontId="2" fillId="0" borderId="0" xfId="0" quotePrefix="1" applyNumberFormat="1" applyFont="1" applyAlignment="1">
      <alignment horizontal="center"/>
    </xf>
    <xf numFmtId="167"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horizontal="left" vertical="top"/>
    </xf>
    <xf numFmtId="0" fontId="2" fillId="0" borderId="0" xfId="0" applyFont="1" applyFill="1" applyAlignment="1"/>
    <xf numFmtId="164" fontId="2" fillId="0" borderId="0" xfId="0" applyNumberFormat="1" applyFont="1"/>
    <xf numFmtId="164" fontId="2" fillId="0" borderId="0" xfId="0" applyNumberFormat="1" applyFont="1" applyFill="1"/>
    <xf numFmtId="14" fontId="2" fillId="0" borderId="0" xfId="0" applyNumberFormat="1" applyFont="1" applyFill="1" applyAlignment="1">
      <alignment horizontal="center"/>
    </xf>
    <xf numFmtId="0" fontId="2" fillId="0" borderId="0" xfId="0" applyFont="1" applyFill="1" applyAlignment="1">
      <alignment horizontal="right" vertical="top"/>
    </xf>
    <xf numFmtId="0" fontId="2" fillId="0" borderId="0" xfId="0" quotePrefix="1" applyFont="1" applyFill="1" applyAlignment="1">
      <alignment horizontal="right" vertical="top"/>
    </xf>
    <xf numFmtId="15" fontId="4" fillId="0" borderId="0" xfId="0" applyNumberFormat="1" applyFont="1" applyAlignment="1">
      <alignment horizont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168" fontId="2" fillId="0" borderId="0" xfId="0" applyNumberFormat="1" applyFont="1" applyFill="1"/>
    <xf numFmtId="0" fontId="2" fillId="0" borderId="0" xfId="3" applyFont="1" applyFill="1"/>
    <xf numFmtId="168" fontId="2" fillId="0" borderId="0" xfId="3" applyNumberFormat="1" applyFont="1" applyFill="1"/>
    <xf numFmtId="0" fontId="2" fillId="0" borderId="0" xfId="0" applyFont="1" applyProtection="1">
      <protection locked="0" hidden="1"/>
    </xf>
    <xf numFmtId="164" fontId="2" fillId="0" borderId="0" xfId="1" applyNumberFormat="1" applyFont="1" applyFill="1" applyAlignment="1">
      <alignment horizontal="center"/>
    </xf>
    <xf numFmtId="164" fontId="4" fillId="0" borderId="0" xfId="1" applyNumberFormat="1" applyFont="1" applyFill="1" applyAlignment="1">
      <alignment horizontal="center"/>
    </xf>
    <xf numFmtId="0" fontId="12" fillId="0" borderId="0" xfId="0" applyFont="1"/>
    <xf numFmtId="0" fontId="12" fillId="0" borderId="0" xfId="0" applyFont="1" applyFill="1"/>
    <xf numFmtId="164" fontId="2" fillId="0" borderId="0" xfId="0" applyNumberFormat="1" applyFont="1" applyFill="1" applyAlignment="1" applyProtection="1">
      <alignment horizontal="center"/>
      <protection locked="0" hidden="1"/>
    </xf>
    <xf numFmtId="0" fontId="2" fillId="0" borderId="0" xfId="0" applyFont="1" applyFill="1" applyBorder="1" applyAlignment="1">
      <alignment horizontal="center"/>
    </xf>
    <xf numFmtId="1" fontId="2" fillId="0" borderId="0" xfId="1" applyNumberFormat="1" applyFont="1" applyFill="1" applyAlignment="1">
      <alignment horizontal="center"/>
    </xf>
    <xf numFmtId="0" fontId="3" fillId="0" borderId="0" xfId="1" applyFont="1" applyAlignment="1">
      <alignment horizontal="center" wrapText="1"/>
    </xf>
    <xf numFmtId="0" fontId="2" fillId="0" borderId="0" xfId="1" applyFont="1" applyAlignment="1"/>
    <xf numFmtId="0" fontId="2" fillId="0" borderId="0" xfId="1" applyFont="1"/>
    <xf numFmtId="164" fontId="12" fillId="0" borderId="0" xfId="0" applyNumberFormat="1" applyFont="1" applyFill="1"/>
    <xf numFmtId="0" fontId="2" fillId="0" borderId="8" xfId="0" applyFont="1" applyFill="1" applyBorder="1" applyAlignment="1">
      <alignment horizontal="center"/>
    </xf>
    <xf numFmtId="0" fontId="2" fillId="0" borderId="0" xfId="1" applyFont="1"/>
    <xf numFmtId="166" fontId="2" fillId="0" borderId="0" xfId="1" applyNumberFormat="1" applyFont="1" applyFill="1" applyAlignment="1">
      <alignment horizontal="center"/>
    </xf>
    <xf numFmtId="0" fontId="2" fillId="0" borderId="0" xfId="1" applyFont="1"/>
    <xf numFmtId="0" fontId="4" fillId="0" borderId="0" xfId="0" applyFont="1" applyFill="1" applyAlignment="1">
      <alignment horizontal="right"/>
    </xf>
    <xf numFmtId="0" fontId="0" fillId="0" borderId="0" xfId="0" applyAlignment="1"/>
    <xf numFmtId="0" fontId="2" fillId="0" borderId="0" xfId="0" applyFont="1" applyAlignment="1"/>
    <xf numFmtId="0" fontId="12" fillId="0" borderId="0" xfId="0" applyFont="1" applyAlignment="1"/>
    <xf numFmtId="0" fontId="2" fillId="0" borderId="0" xfId="1" applyFont="1" applyFill="1" applyAlignment="1">
      <alignment horizontal="left" vertical="top"/>
    </xf>
    <xf numFmtId="0" fontId="15" fillId="0" borderId="0" xfId="0" applyFont="1"/>
    <xf numFmtId="0" fontId="3" fillId="0" borderId="0" xfId="1" applyFont="1" applyAlignment="1">
      <alignment horizontal="center" wrapText="1"/>
    </xf>
    <xf numFmtId="0" fontId="2" fillId="0" borderId="0" xfId="1" applyFont="1"/>
    <xf numFmtId="0" fontId="2" fillId="0" borderId="0" xfId="1" applyFont="1" applyAlignment="1">
      <alignment vertical="top"/>
    </xf>
    <xf numFmtId="14" fontId="2" fillId="0" borderId="0" xfId="0" applyNumberFormat="1" applyFont="1" applyAlignment="1">
      <alignment horizontal="center"/>
    </xf>
    <xf numFmtId="0" fontId="2" fillId="0" borderId="0" xfId="1" applyFont="1" applyFill="1" applyAlignment="1">
      <alignment vertical="justify"/>
    </xf>
    <xf numFmtId="0" fontId="2" fillId="0" borderId="0" xfId="0" applyFont="1"/>
    <xf numFmtId="0" fontId="12" fillId="0" borderId="0" xfId="0" applyFont="1" applyFill="1" applyAlignment="1">
      <alignment horizontal="right"/>
    </xf>
    <xf numFmtId="0" fontId="2" fillId="0" borderId="0" xfId="0" applyFont="1"/>
    <xf numFmtId="0" fontId="2" fillId="0" borderId="0" xfId="0" applyFont="1" applyAlignment="1">
      <alignment wrapText="1"/>
    </xf>
    <xf numFmtId="0" fontId="3" fillId="0" borderId="0" xfId="0" applyFont="1" applyAlignment="1">
      <alignment horizontal="center"/>
    </xf>
    <xf numFmtId="0" fontId="2" fillId="0" borderId="0" xfId="0" applyFont="1" applyAlignment="1">
      <alignment horizontal="center"/>
    </xf>
    <xf numFmtId="167" fontId="2" fillId="0" borderId="0" xfId="0" applyNumberFormat="1" applyFont="1" applyFill="1" applyAlignment="1">
      <alignment horizontal="right"/>
    </xf>
    <xf numFmtId="167" fontId="2" fillId="0" borderId="0" xfId="0" applyNumberFormat="1" applyFont="1" applyFill="1" applyAlignment="1">
      <alignment horizontal="center"/>
    </xf>
    <xf numFmtId="0" fontId="3" fillId="0" borderId="0" xfId="0" applyNumberFormat="1" applyFont="1" applyAlignment="1">
      <alignment horizontal="centerContinuous"/>
    </xf>
    <xf numFmtId="0" fontId="18" fillId="0" borderId="0" xfId="0" applyFont="1" applyBorder="1" applyAlignment="1">
      <alignment horizontal="centerContinuous"/>
    </xf>
    <xf numFmtId="171" fontId="2" fillId="0" borderId="0" xfId="0" applyNumberFormat="1" applyFont="1" applyAlignment="1">
      <alignment horizontal="centerContinuous"/>
    </xf>
    <xf numFmtId="164" fontId="7" fillId="0" borderId="0" xfId="0" applyNumberFormat="1" applyFont="1" applyAlignment="1">
      <alignment horizontal="right"/>
    </xf>
    <xf numFmtId="0" fontId="2" fillId="0" borderId="0" xfId="0" applyFont="1"/>
    <xf numFmtId="0" fontId="2" fillId="0" borderId="0" xfId="1" applyFont="1"/>
    <xf numFmtId="0" fontId="2" fillId="0" borderId="0" xfId="0" applyFont="1" applyAlignment="1">
      <alignment horizontal="center"/>
    </xf>
    <xf numFmtId="0" fontId="12" fillId="0" borderId="0" xfId="7" applyFont="1"/>
    <xf numFmtId="0" fontId="12" fillId="0" borderId="0" xfId="7" applyFont="1" applyAlignment="1">
      <alignment horizontal="center"/>
    </xf>
    <xf numFmtId="164" fontId="2" fillId="0" borderId="0" xfId="7" applyNumberFormat="1" applyFont="1" applyFill="1" applyBorder="1" applyAlignment="1">
      <alignment horizontal="center"/>
    </xf>
    <xf numFmtId="0" fontId="2" fillId="0" borderId="0" xfId="0" applyFont="1" applyFill="1" applyBorder="1"/>
    <xf numFmtId="0" fontId="0" fillId="0" borderId="0" xfId="0" applyAlignment="1"/>
    <xf numFmtId="164" fontId="2" fillId="0" borderId="0" xfId="0" applyNumberFormat="1" applyFont="1" applyFill="1" applyAlignment="1">
      <alignment horizontal="right"/>
    </xf>
    <xf numFmtId="0" fontId="3" fillId="0" borderId="0" xfId="0" applyFont="1"/>
    <xf numFmtId="0" fontId="3" fillId="0" borderId="0" xfId="0" applyFont="1" applyFill="1" applyAlignment="1">
      <alignment horizontal="centerContinuous"/>
    </xf>
    <xf numFmtId="0" fontId="2" fillId="0" borderId="0" xfId="0" applyFont="1" applyFill="1" applyAlignment="1">
      <alignment horizontal="left"/>
    </xf>
    <xf numFmtId="0" fontId="2" fillId="0" borderId="1" xfId="0" applyFont="1" applyFill="1" applyBorder="1" applyAlignment="1">
      <alignment horizontal="centerContinuous"/>
    </xf>
    <xf numFmtId="3" fontId="2" fillId="0" borderId="0" xfId="0" applyNumberFormat="1" applyFont="1" applyFill="1"/>
    <xf numFmtId="0" fontId="4" fillId="0" borderId="0" xfId="0" applyFont="1" applyFill="1" applyAlignment="1">
      <alignment horizontal="left"/>
    </xf>
    <xf numFmtId="0" fontId="2" fillId="0" borderId="0" xfId="0" applyFont="1" applyFill="1" applyAlignment="1">
      <alignment horizontal="left" vertical="top"/>
    </xf>
    <xf numFmtId="0" fontId="3" fillId="0" borderId="0" xfId="1" applyFont="1" applyFill="1" applyAlignment="1">
      <alignment horizontal="center" wrapText="1"/>
    </xf>
    <xf numFmtId="0" fontId="2" fillId="0" borderId="0" xfId="1" applyFont="1"/>
    <xf numFmtId="0" fontId="2" fillId="0" borderId="0" xfId="0" applyFont="1"/>
    <xf numFmtId="0" fontId="2" fillId="0" borderId="0" xfId="0" applyFont="1"/>
    <xf numFmtId="0" fontId="2" fillId="0" borderId="0" xfId="1" applyFont="1"/>
    <xf numFmtId="0" fontId="2" fillId="0" borderId="0" xfId="0" applyFont="1"/>
    <xf numFmtId="164" fontId="3" fillId="0" borderId="0" xfId="0" applyNumberFormat="1" applyFont="1" applyFill="1" applyAlignment="1">
      <alignment horizontal="centerContinuous"/>
    </xf>
    <xf numFmtId="0" fontId="3" fillId="0" borderId="0" xfId="1" applyFont="1" applyAlignment="1">
      <alignment horizontal="centerContinuous" wrapText="1"/>
    </xf>
    <xf numFmtId="0" fontId="12" fillId="0" borderId="0" xfId="0" applyFont="1" applyAlignment="1">
      <alignment horizontal="centerContinuous"/>
    </xf>
    <xf numFmtId="0" fontId="12" fillId="0" borderId="0" xfId="0" applyFont="1" applyBorder="1" applyAlignment="1">
      <alignment horizontal="centerContinuous"/>
    </xf>
    <xf numFmtId="0" fontId="3" fillId="0" borderId="0" xfId="1" applyFont="1" applyFill="1" applyAlignment="1">
      <alignment horizontal="centerContinuous" wrapText="1"/>
    </xf>
    <xf numFmtId="0" fontId="3" fillId="0" borderId="0" xfId="0" applyFont="1" applyAlignment="1">
      <alignment horizontal="centerContinuous"/>
    </xf>
    <xf numFmtId="0" fontId="2" fillId="0" borderId="1" xfId="1" applyFont="1" applyFill="1" applyBorder="1" applyAlignment="1">
      <alignment horizontal="centerContinuous"/>
    </xf>
    <xf numFmtId="0" fontId="0" fillId="0" borderId="0" xfId="0" applyAlignment="1">
      <alignment horizontal="left" vertical="top"/>
    </xf>
    <xf numFmtId="164" fontId="2" fillId="0" borderId="0" xfId="0" quotePrefix="1" applyNumberFormat="1" applyFont="1" applyFill="1" applyAlignment="1">
      <alignment horizontal="center"/>
    </xf>
    <xf numFmtId="0" fontId="2" fillId="0" borderId="0" xfId="0" applyFont="1" applyAlignment="1">
      <alignment horizontal="center"/>
    </xf>
    <xf numFmtId="164" fontId="9" fillId="0" borderId="0" xfId="0" applyNumberFormat="1" applyFont="1" applyFill="1" applyAlignment="1">
      <alignment horizontal="center"/>
    </xf>
    <xf numFmtId="168" fontId="11" fillId="0" borderId="0" xfId="0" applyNumberFormat="1" applyFont="1" applyFill="1"/>
    <xf numFmtId="0" fontId="4" fillId="0" borderId="0" xfId="0" applyFont="1" applyFill="1" applyBorder="1" applyAlignment="1">
      <alignment horizontal="center"/>
    </xf>
    <xf numFmtId="168" fontId="2" fillId="0" borderId="0" xfId="0" applyNumberFormat="1" applyFont="1" applyFill="1" applyAlignment="1">
      <alignment horizontal="right" indent="3"/>
    </xf>
    <xf numFmtId="0" fontId="2" fillId="0" borderId="0" xfId="0" applyFont="1" applyFill="1" applyAlignment="1">
      <alignment horizontal="right" indent="3"/>
    </xf>
    <xf numFmtId="168" fontId="2" fillId="0" borderId="0" xfId="0" applyNumberFormat="1" applyFont="1" applyFill="1" applyBorder="1" applyAlignment="1">
      <alignment horizontal="right" indent="3"/>
    </xf>
    <xf numFmtId="0" fontId="2" fillId="0" borderId="0" xfId="0" applyFont="1" applyFill="1" applyBorder="1" applyAlignment="1">
      <alignment horizontal="right" indent="3"/>
    </xf>
    <xf numFmtId="0" fontId="2" fillId="0" borderId="0" xfId="0" quotePrefix="1" applyFont="1" applyFill="1" applyAlignment="1">
      <alignment horizontal="center" vertical="top" wrapText="1"/>
    </xf>
    <xf numFmtId="0" fontId="2" fillId="0" borderId="0" xfId="0" applyFont="1" applyFill="1" applyBorder="1" applyAlignment="1">
      <alignment horizontal="left"/>
    </xf>
    <xf numFmtId="164" fontId="11" fillId="0" borderId="0" xfId="0" applyNumberFormat="1" applyFont="1" applyFill="1" applyAlignment="1">
      <alignment horizontal="center"/>
    </xf>
    <xf numFmtId="0" fontId="2" fillId="0" borderId="0" xfId="0" applyFont="1" applyFill="1" applyAlignment="1">
      <alignment vertical="top"/>
    </xf>
    <xf numFmtId="168" fontId="2" fillId="0" borderId="0" xfId="0" applyNumberFormat="1" applyFont="1" applyFill="1" applyAlignment="1">
      <alignment horizontal="center"/>
    </xf>
    <xf numFmtId="168" fontId="2" fillId="0" borderId="0" xfId="0" applyNumberFormat="1" applyFont="1" applyFill="1" applyAlignment="1">
      <alignment horizontal="right"/>
    </xf>
    <xf numFmtId="0" fontId="9" fillId="0" borderId="0" xfId="0" applyFont="1" applyFill="1"/>
    <xf numFmtId="164" fontId="23" fillId="0" borderId="0" xfId="0" applyNumberFormat="1" applyFont="1" applyFill="1" applyAlignment="1">
      <alignment horizontal="center"/>
    </xf>
    <xf numFmtId="3" fontId="2" fillId="0" borderId="0" xfId="3" applyNumberFormat="1" applyFont="1" applyFill="1"/>
    <xf numFmtId="164" fontId="9" fillId="0" borderId="0" xfId="0" applyNumberFormat="1" applyFont="1" applyFill="1" applyBorder="1" applyAlignment="1">
      <alignment horizontal="center"/>
    </xf>
    <xf numFmtId="168" fontId="23" fillId="0" borderId="0" xfId="0" applyNumberFormat="1" applyFont="1" applyFill="1"/>
    <xf numFmtId="164" fontId="3" fillId="0" borderId="0" xfId="1" applyNumberFormat="1" applyFont="1" applyFill="1" applyAlignment="1">
      <alignment horizontal="centerContinuous"/>
    </xf>
    <xf numFmtId="0" fontId="2" fillId="0" borderId="0" xfId="0" applyFont="1"/>
    <xf numFmtId="0" fontId="2" fillId="0" borderId="0" xfId="1" applyFont="1"/>
    <xf numFmtId="0" fontId="2" fillId="0" borderId="0" xfId="0" applyFont="1" applyBorder="1" applyAlignment="1">
      <alignment horizontal="center"/>
    </xf>
    <xf numFmtId="168" fontId="11" fillId="0" borderId="0" xfId="5" applyNumberFormat="1" applyFont="1" applyFill="1" applyAlignment="1">
      <alignment horizontal="center" vertical="top" wrapText="1"/>
    </xf>
    <xf numFmtId="164" fontId="2" fillId="0" borderId="0" xfId="0" applyNumberFormat="1" applyFont="1" applyBorder="1" applyAlignment="1">
      <alignment vertical="center"/>
    </xf>
    <xf numFmtId="0" fontId="2" fillId="0" borderId="0" xfId="0" applyFont="1"/>
    <xf numFmtId="0" fontId="2" fillId="0" borderId="0" xfId="0" applyFont="1"/>
    <xf numFmtId="0" fontId="2" fillId="0" borderId="0" xfId="0" applyFont="1"/>
    <xf numFmtId="164" fontId="11" fillId="0" borderId="1" xfId="0" applyNumberFormat="1" applyFont="1" applyFill="1" applyBorder="1"/>
    <xf numFmtId="0" fontId="16" fillId="0" borderId="0" xfId="0" applyFont="1" applyAlignment="1">
      <alignment vertical="top"/>
    </xf>
    <xf numFmtId="0" fontId="2" fillId="0" borderId="0" xfId="0" applyFont="1"/>
    <xf numFmtId="0" fontId="0" fillId="0" borderId="0" xfId="0" applyAlignment="1">
      <alignment vertical="top"/>
    </xf>
    <xf numFmtId="165" fontId="2" fillId="0" borderId="0" xfId="1" applyNumberFormat="1" applyFont="1" applyAlignment="1"/>
    <xf numFmtId="0" fontId="2" fillId="0" borderId="0" xfId="1" applyFont="1" applyFill="1" applyAlignment="1">
      <alignment horizontal="left" vertical="justify"/>
    </xf>
    <xf numFmtId="164" fontId="13" fillId="0" borderId="6" xfId="0" applyNumberFormat="1" applyFont="1" applyFill="1" applyBorder="1" applyAlignment="1">
      <alignment horizontal="center"/>
    </xf>
    <xf numFmtId="0" fontId="13" fillId="0" borderId="2" xfId="0" applyFont="1" applyFill="1" applyBorder="1" applyAlignment="1">
      <alignment horizontal="center"/>
    </xf>
    <xf numFmtId="0" fontId="13" fillId="0" borderId="7" xfId="0" applyFont="1" applyFill="1" applyBorder="1" applyAlignment="1">
      <alignment horizontal="center"/>
    </xf>
    <xf numFmtId="168" fontId="12" fillId="0" borderId="9" xfId="4" applyNumberFormat="1" applyFont="1" applyFill="1" applyBorder="1" applyAlignment="1">
      <alignment horizontal="center"/>
    </xf>
    <xf numFmtId="0" fontId="2" fillId="0" borderId="10" xfId="0" applyFont="1" applyFill="1" applyBorder="1" applyAlignment="1">
      <alignment horizontal="center"/>
    </xf>
    <xf numFmtId="168" fontId="12" fillId="0" borderId="11" xfId="4" applyNumberFormat="1" applyFont="1" applyFill="1" applyBorder="1" applyAlignment="1">
      <alignment horizontal="center"/>
    </xf>
    <xf numFmtId="167" fontId="2" fillId="0" borderId="0" xfId="0" applyNumberFormat="1" applyFont="1" applyFill="1"/>
    <xf numFmtId="2" fontId="2" fillId="0" borderId="0" xfId="0" applyNumberFormat="1" applyFont="1" applyFill="1"/>
    <xf numFmtId="0" fontId="12" fillId="0" borderId="0" xfId="0" applyFont="1" applyFill="1" applyAlignment="1">
      <alignment horizontal="centerContinuous"/>
    </xf>
    <xf numFmtId="0" fontId="2" fillId="0" borderId="0" xfId="0" applyFont="1" applyFill="1" applyAlignment="1">
      <alignment horizontal="center" wrapText="1"/>
    </xf>
    <xf numFmtId="0" fontId="4" fillId="0" borderId="0" xfId="0" applyFont="1" applyFill="1" applyAlignment="1">
      <alignment horizontal="center" wrapText="1"/>
    </xf>
    <xf numFmtId="164" fontId="7" fillId="0" borderId="0" xfId="0" applyNumberFormat="1" applyFont="1" applyFill="1" applyAlignment="1">
      <alignment horizontal="center"/>
    </xf>
    <xf numFmtId="0" fontId="2" fillId="0" borderId="0" xfId="0" applyFont="1" applyFill="1" applyAlignment="1">
      <alignment horizontal="justify" vertical="justify"/>
    </xf>
    <xf numFmtId="0" fontId="2" fillId="0" borderId="0" xfId="0" applyFont="1" applyFill="1" applyAlignment="1">
      <alignment horizontal="right"/>
    </xf>
    <xf numFmtId="10" fontId="2" fillId="0" borderId="0" xfId="1" applyNumberFormat="1" applyFont="1" applyFill="1"/>
    <xf numFmtId="175" fontId="23" fillId="0" borderId="0" xfId="6" applyNumberFormat="1" applyFont="1" applyFill="1"/>
    <xf numFmtId="0" fontId="16" fillId="0" borderId="0" xfId="0" applyFont="1" applyFill="1" applyAlignment="1">
      <alignment vertical="top"/>
    </xf>
    <xf numFmtId="0" fontId="12" fillId="0" borderId="0" xfId="0" applyFont="1" applyFill="1" applyAlignment="1">
      <alignment horizontal="left"/>
    </xf>
    <xf numFmtId="0" fontId="0" fillId="0" borderId="0" xfId="0" applyFill="1"/>
    <xf numFmtId="0" fontId="9" fillId="0" borderId="0" xfId="0" applyFont="1" applyFill="1" applyAlignment="1">
      <alignment horizontal="left"/>
    </xf>
    <xf numFmtId="174" fontId="23" fillId="0" borderId="0" xfId="6" applyNumberFormat="1" applyFont="1" applyFill="1" applyAlignment="1">
      <alignment horizontal="distributed"/>
    </xf>
    <xf numFmtId="0" fontId="12" fillId="0" borderId="0" xfId="0" applyFont="1" applyFill="1" applyBorder="1" applyAlignment="1">
      <alignment horizontal="center"/>
    </xf>
    <xf numFmtId="0" fontId="2" fillId="0" borderId="2" xfId="0" applyFont="1" applyFill="1" applyBorder="1" applyAlignment="1">
      <alignment horizontal="center"/>
    </xf>
    <xf numFmtId="0" fontId="2" fillId="0" borderId="0" xfId="0" applyFont="1"/>
    <xf numFmtId="170" fontId="2" fillId="0" borderId="0" xfId="0" applyNumberFormat="1" applyFont="1"/>
    <xf numFmtId="0" fontId="2" fillId="0" borderId="0" xfId="0" applyFont="1"/>
    <xf numFmtId="0" fontId="12" fillId="0" borderId="0" xfId="0" applyFont="1" applyFill="1" applyBorder="1" applyAlignment="1">
      <alignment horizontal="centerContinuous"/>
    </xf>
    <xf numFmtId="0" fontId="2" fillId="0" borderId="0" xfId="1" applyFont="1" applyFill="1" applyAlignment="1">
      <alignment horizontal="center"/>
    </xf>
    <xf numFmtId="0" fontId="2" fillId="0" borderId="0" xfId="0" applyFont="1"/>
    <xf numFmtId="165" fontId="2" fillId="0" borderId="0" xfId="1" applyNumberFormat="1" applyFont="1" applyFill="1" applyAlignment="1">
      <alignment horizontal="center"/>
    </xf>
    <xf numFmtId="0" fontId="4" fillId="0" borderId="0" xfId="1" applyFont="1" applyFill="1" applyAlignment="1">
      <alignment horizontal="center"/>
    </xf>
    <xf numFmtId="165" fontId="11" fillId="0" borderId="0" xfId="1" applyNumberFormat="1" applyFont="1" applyFill="1" applyAlignment="1">
      <alignment horizontal="center"/>
    </xf>
    <xf numFmtId="0" fontId="2" fillId="0" borderId="0" xfId="1" applyFont="1" applyFill="1" applyAlignment="1">
      <alignment horizontal="left"/>
    </xf>
    <xf numFmtId="0" fontId="2" fillId="0" borderId="0" xfId="0" applyFont="1" applyFill="1"/>
    <xf numFmtId="173" fontId="2" fillId="0" borderId="0" xfId="1" applyNumberFormat="1" applyFont="1" applyFill="1" applyAlignment="1">
      <alignment horizontal="center"/>
    </xf>
    <xf numFmtId="0" fontId="3" fillId="0" borderId="0" xfId="1" applyFont="1" applyFill="1" applyAlignment="1">
      <alignment horizontal="centerContinuous" wrapText="1"/>
    </xf>
    <xf numFmtId="0" fontId="2" fillId="0" borderId="1" xfId="1" applyFont="1" applyFill="1" applyBorder="1" applyAlignment="1">
      <alignment horizontal="centerContinuous"/>
    </xf>
    <xf numFmtId="0" fontId="2" fillId="0" borderId="0" xfId="1" applyFont="1" applyFill="1" applyBorder="1" applyAlignment="1">
      <alignment horizontal="centerContinuous"/>
    </xf>
    <xf numFmtId="165" fontId="9" fillId="0" borderId="0" xfId="1" applyNumberFormat="1" applyFont="1" applyFill="1" applyAlignment="1">
      <alignment horizontal="center"/>
    </xf>
    <xf numFmtId="165" fontId="23" fillId="0" borderId="0" xfId="1" applyNumberFormat="1" applyFont="1" applyFill="1" applyAlignment="1">
      <alignment horizontal="center"/>
    </xf>
    <xf numFmtId="0" fontId="2" fillId="0" borderId="0" xfId="1" applyFont="1" applyFill="1" applyAlignment="1">
      <alignment vertical="top"/>
    </xf>
    <xf numFmtId="0" fontId="3" fillId="0" borderId="0" xfId="1" applyFont="1" applyFill="1" applyAlignment="1">
      <alignment horizontal="centerContinuous"/>
    </xf>
    <xf numFmtId="0" fontId="6" fillId="0" borderId="0" xfId="1" applyFont="1" applyFill="1" applyAlignment="1">
      <alignment horizontal="center"/>
    </xf>
    <xf numFmtId="0" fontId="2" fillId="0" borderId="0" xfId="1" applyFont="1" applyFill="1" applyAlignment="1"/>
    <xf numFmtId="0" fontId="2" fillId="0" borderId="1" xfId="0" applyFont="1" applyBorder="1" applyAlignment="1">
      <alignment horizontal="center"/>
    </xf>
    <xf numFmtId="0" fontId="2" fillId="0" borderId="0" xfId="0" applyFont="1"/>
    <xf numFmtId="0" fontId="18" fillId="0" borderId="0" xfId="0" applyFont="1" applyAlignment="1">
      <alignment horizontal="centerContinuous"/>
    </xf>
    <xf numFmtId="0" fontId="2" fillId="0" borderId="3" xfId="0" applyFont="1" applyBorder="1" applyAlignment="1">
      <alignment horizontal="centerContinuous"/>
    </xf>
    <xf numFmtId="0" fontId="2" fillId="0" borderId="3" xfId="0" applyFont="1" applyBorder="1" applyAlignment="1">
      <alignment horizontal="center"/>
    </xf>
    <xf numFmtId="0" fontId="2" fillId="0" borderId="4" xfId="0" applyFont="1" applyBorder="1" applyAlignment="1">
      <alignment horizontal="center"/>
    </xf>
    <xf numFmtId="0" fontId="19" fillId="0" borderId="1" xfId="0" applyFont="1" applyBorder="1" applyAlignment="1">
      <alignment horizontal="center"/>
    </xf>
    <xf numFmtId="172" fontId="2" fillId="0" borderId="0" xfId="0" applyNumberFormat="1" applyFont="1"/>
    <xf numFmtId="0" fontId="11" fillId="0" borderId="0" xfId="0" applyFont="1" applyFill="1" applyAlignment="1">
      <alignment horizontal="center"/>
    </xf>
    <xf numFmtId="168" fontId="12" fillId="0" borderId="0" xfId="0" applyNumberFormat="1" applyFont="1" applyFill="1" applyBorder="1" applyAlignment="1">
      <alignment horizontal="center"/>
    </xf>
    <xf numFmtId="0" fontId="2" fillId="0" borderId="0" xfId="3" applyFont="1" applyFill="1" applyAlignment="1">
      <alignment horizontal="right"/>
    </xf>
    <xf numFmtId="3" fontId="23" fillId="0" borderId="0" xfId="0" applyNumberFormat="1" applyFont="1" applyFill="1"/>
    <xf numFmtId="0" fontId="2" fillId="0" borderId="0" xfId="0" applyFont="1" applyFill="1" applyAlignment="1">
      <alignment horizontal="right" vertical="center" readingOrder="1"/>
    </xf>
    <xf numFmtId="0" fontId="1" fillId="0" borderId="0" xfId="0" applyFont="1" applyFill="1"/>
    <xf numFmtId="164" fontId="2" fillId="0" borderId="0" xfId="7" applyNumberFormat="1" applyFont="1" applyFill="1" applyAlignment="1">
      <alignment horizontal="center"/>
    </xf>
    <xf numFmtId="164" fontId="3" fillId="0" borderId="0" xfId="7" applyNumberFormat="1" applyFont="1" applyFill="1" applyAlignment="1">
      <alignment horizontal="center"/>
    </xf>
    <xf numFmtId="0" fontId="3"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vertical="top" wrapText="1"/>
    </xf>
    <xf numFmtId="0" fontId="0" fillId="0" borderId="0" xfId="0" applyFill="1" applyAlignment="1">
      <alignment wrapText="1"/>
    </xf>
    <xf numFmtId="164" fontId="4" fillId="0" borderId="0" xfId="0" applyNumberFormat="1" applyFont="1" applyFill="1" applyAlignment="1">
      <alignment horizontal="center"/>
    </xf>
    <xf numFmtId="0" fontId="2" fillId="0" borderId="0" xfId="0" applyFont="1" applyFill="1" applyAlignment="1">
      <alignment horizontal="center" vertical="center"/>
    </xf>
    <xf numFmtId="2" fontId="10" fillId="0" borderId="0" xfId="0" applyNumberFormat="1" applyFont="1" applyFill="1" applyAlignment="1">
      <alignment horizontal="center" vertical="center"/>
    </xf>
    <xf numFmtId="167" fontId="4" fillId="0" borderId="0" xfId="0" applyNumberFormat="1" applyFont="1" applyFill="1" applyAlignment="1">
      <alignment horizontal="center"/>
    </xf>
    <xf numFmtId="3" fontId="2" fillId="0" borderId="0" xfId="0" applyNumberFormat="1" applyFont="1" applyFill="1" applyAlignment="1">
      <alignment horizontal="center"/>
    </xf>
    <xf numFmtId="168" fontId="2" fillId="0" borderId="0" xfId="0" quotePrefix="1" applyNumberFormat="1" applyFont="1" applyFill="1" applyAlignment="1">
      <alignment horizontal="right"/>
    </xf>
    <xf numFmtId="0" fontId="2" fillId="0" borderId="0" xfId="0" quotePrefix="1" applyFont="1" applyFill="1" applyAlignment="1">
      <alignment horizontal="right"/>
    </xf>
    <xf numFmtId="168" fontId="9" fillId="0" borderId="0" xfId="4" applyNumberFormat="1" applyFont="1" applyFill="1"/>
    <xf numFmtId="0" fontId="3" fillId="0" borderId="0" xfId="3" applyFont="1" applyFill="1" applyAlignment="1">
      <alignment horizontal="centerContinuous"/>
    </xf>
    <xf numFmtId="0" fontId="2" fillId="0" borderId="0" xfId="3" applyFont="1" applyFill="1" applyAlignment="1">
      <alignment horizontal="centerContinuous"/>
    </xf>
    <xf numFmtId="0" fontId="2" fillId="0" borderId="0" xfId="3" quotePrefix="1" applyFont="1" applyFill="1" applyAlignment="1">
      <alignment horizontal="center"/>
    </xf>
    <xf numFmtId="0" fontId="2" fillId="0" borderId="0" xfId="3" quotePrefix="1" applyFont="1" applyFill="1" applyBorder="1" applyAlignment="1">
      <alignment horizontal="center"/>
    </xf>
    <xf numFmtId="0" fontId="4" fillId="0" borderId="0" xfId="3" applyFont="1" applyFill="1" applyAlignment="1">
      <alignment horizontal="center"/>
    </xf>
    <xf numFmtId="168" fontId="2" fillId="0" borderId="0" xfId="3" quotePrefix="1" applyNumberFormat="1" applyFont="1" applyFill="1" applyAlignment="1">
      <alignment horizontal="right"/>
    </xf>
    <xf numFmtId="3" fontId="2" fillId="0" borderId="0" xfId="3" applyNumberFormat="1" applyFont="1" applyFill="1" applyBorder="1"/>
    <xf numFmtId="168" fontId="2" fillId="0" borderId="0" xfId="3" applyNumberFormat="1" applyFont="1" applyFill="1" applyBorder="1"/>
    <xf numFmtId="168" fontId="11" fillId="0" borderId="0" xfId="3" applyNumberFormat="1" applyFont="1" applyFill="1" applyAlignment="1">
      <alignment horizontal="right"/>
    </xf>
    <xf numFmtId="0" fontId="2" fillId="0" borderId="0" xfId="3" applyFont="1" applyFill="1" applyAlignment="1">
      <alignment vertical="top"/>
    </xf>
    <xf numFmtId="0" fontId="2" fillId="0" borderId="0" xfId="3" applyFont="1" applyFill="1" applyAlignment="1">
      <alignment vertical="top" wrapText="1"/>
    </xf>
    <xf numFmtId="0" fontId="2" fillId="0" borderId="0" xfId="3" applyFont="1" applyFill="1" applyAlignment="1"/>
    <xf numFmtId="2" fontId="3" fillId="0" borderId="0" xfId="0" applyNumberFormat="1" applyFont="1" applyFill="1" applyAlignment="1">
      <alignment horizontal="centerContinuous"/>
    </xf>
    <xf numFmtId="2" fontId="3" fillId="0" borderId="0" xfId="0" applyNumberFormat="1" applyFont="1" applyFill="1" applyAlignment="1">
      <alignment horizontal="center"/>
    </xf>
    <xf numFmtId="0" fontId="10" fillId="0" borderId="0" xfId="0" applyFont="1" applyFill="1" applyAlignment="1">
      <alignment horizontal="center"/>
    </xf>
    <xf numFmtId="0" fontId="20" fillId="0" borderId="0" xfId="7" applyFont="1" applyFill="1" applyAlignment="1">
      <alignment horizontal="centerContinuous"/>
    </xf>
    <xf numFmtId="0" fontId="12" fillId="0" borderId="0" xfId="7" applyFont="1" applyFill="1"/>
    <xf numFmtId="0" fontId="13" fillId="0" borderId="0" xfId="7" applyFont="1" applyFill="1"/>
    <xf numFmtId="0" fontId="13" fillId="0" borderId="0" xfId="7" applyFont="1" applyFill="1" applyAlignment="1">
      <alignment horizontal="center"/>
    </xf>
    <xf numFmtId="0" fontId="17" fillId="0" borderId="0" xfId="7" applyFont="1" applyFill="1" applyAlignment="1">
      <alignment horizontal="centerContinuous"/>
    </xf>
    <xf numFmtId="0" fontId="12" fillId="0" borderId="0" xfId="7" applyFont="1" applyFill="1" applyAlignment="1">
      <alignment horizontal="center"/>
    </xf>
    <xf numFmtId="164" fontId="12" fillId="0" borderId="0" xfId="7" applyNumberFormat="1" applyFont="1" applyFill="1" applyAlignment="1">
      <alignment horizontal="center"/>
    </xf>
    <xf numFmtId="164" fontId="22" fillId="0" borderId="0" xfId="7" applyNumberFormat="1" applyFont="1" applyFill="1" applyAlignment="1">
      <alignment horizontal="center"/>
    </xf>
    <xf numFmtId="10" fontId="12" fillId="0" borderId="0" xfId="0" applyNumberFormat="1" applyFont="1" applyFill="1" applyBorder="1" applyAlignment="1">
      <alignment horizontal="center"/>
    </xf>
    <xf numFmtId="14" fontId="2" fillId="0" borderId="0" xfId="0" quotePrefix="1" applyNumberFormat="1" applyFont="1" applyFill="1" applyAlignment="1">
      <alignment horizontal="center"/>
    </xf>
    <xf numFmtId="14" fontId="12" fillId="0" borderId="0" xfId="7" applyNumberFormat="1" applyFont="1" applyFill="1"/>
    <xf numFmtId="0" fontId="2" fillId="0" borderId="0" xfId="0" applyFont="1" applyFill="1" applyProtection="1">
      <protection locked="0" hidden="1"/>
    </xf>
    <xf numFmtId="9" fontId="3" fillId="0" borderId="0" xfId="5" applyFont="1" applyFill="1" applyAlignment="1" applyProtection="1">
      <alignment horizontal="centerContinuous"/>
      <protection locked="0" hidden="1"/>
    </xf>
    <xf numFmtId="14" fontId="2" fillId="0" borderId="0" xfId="0" applyNumberFormat="1" applyFont="1" applyFill="1" applyProtection="1">
      <protection locked="0" hidden="1"/>
    </xf>
    <xf numFmtId="9" fontId="21" fillId="0" borderId="0" xfId="5" applyFont="1" applyFill="1" applyAlignment="1" applyProtection="1">
      <alignment horizontal="centerContinuous"/>
      <protection locked="0" hidden="1"/>
    </xf>
    <xf numFmtId="0" fontId="2" fillId="0" borderId="0" xfId="0" applyFont="1" applyFill="1" applyAlignment="1" applyProtection="1">
      <alignment horizontal="right"/>
      <protection locked="0" hidden="1"/>
    </xf>
    <xf numFmtId="0" fontId="2" fillId="0" borderId="0" xfId="0" applyFont="1" applyFill="1" applyAlignment="1" applyProtection="1">
      <protection locked="0" hidden="1"/>
    </xf>
    <xf numFmtId="0" fontId="4" fillId="0" borderId="0" xfId="0" applyFont="1" applyFill="1" applyAlignment="1" applyProtection="1">
      <alignment horizontal="center"/>
      <protection locked="0" hidden="1"/>
    </xf>
    <xf numFmtId="164" fontId="2" fillId="0" borderId="0" xfId="0" quotePrefix="1" applyNumberFormat="1" applyFont="1" applyFill="1" applyAlignment="1" applyProtection="1">
      <alignment horizontal="center"/>
      <protection locked="0" hidden="1"/>
    </xf>
    <xf numFmtId="0" fontId="2" fillId="0" borderId="0" xfId="0" applyFont="1" applyFill="1" applyAlignment="1" applyProtection="1">
      <alignment horizontal="center"/>
      <protection locked="0" hidden="1"/>
    </xf>
    <xf numFmtId="0" fontId="2" fillId="0" borderId="0" xfId="0" quotePrefix="1" applyFont="1" applyFill="1" applyAlignment="1" applyProtection="1">
      <alignment horizontal="right" vertical="top"/>
      <protection locked="0" hidden="1"/>
    </xf>
    <xf numFmtId="164" fontId="2" fillId="0" borderId="0" xfId="0" applyNumberFormat="1" applyFont="1" applyFill="1" applyAlignment="1" applyProtection="1">
      <alignment horizontal="center" vertical="top"/>
      <protection locked="0" hidden="1"/>
    </xf>
    <xf numFmtId="0" fontId="2" fillId="0" borderId="0" xfId="0" applyFont="1" applyFill="1" applyAlignment="1" applyProtection="1">
      <alignment horizontal="left" vertical="top" wrapText="1"/>
      <protection locked="0" hidden="1"/>
    </xf>
    <xf numFmtId="164" fontId="2" fillId="0" borderId="0" xfId="0" applyNumberFormat="1" applyFont="1" applyFill="1" applyAlignment="1" applyProtection="1">
      <alignment horizontal="center" vertical="top" wrapText="1"/>
      <protection locked="0" hidden="1"/>
    </xf>
    <xf numFmtId="164" fontId="2" fillId="0" borderId="0" xfId="0" applyNumberFormat="1" applyFont="1" applyFill="1" applyAlignment="1">
      <alignment horizontal="center" vertical="top" wrapText="1"/>
    </xf>
    <xf numFmtId="168" fontId="2" fillId="0" borderId="0" xfId="5" applyNumberFormat="1" applyFont="1" applyFill="1" applyAlignment="1">
      <alignment horizontal="center" vertical="top" wrapText="1"/>
    </xf>
    <xf numFmtId="0" fontId="1" fillId="0" borderId="0" xfId="0" applyFont="1" applyFill="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0" xfId="0" applyFont="1" applyFill="1" applyBorder="1" applyAlignment="1">
      <alignment horizontal="center"/>
    </xf>
    <xf numFmtId="164" fontId="12" fillId="0" borderId="0" xfId="0" applyNumberFormat="1" applyFont="1" applyFill="1" applyBorder="1"/>
    <xf numFmtId="0" fontId="2" fillId="0" borderId="0" xfId="0" applyFont="1" applyFill="1"/>
    <xf numFmtId="0" fontId="1" fillId="0" borderId="1" xfId="0" applyFont="1" applyFill="1" applyBorder="1" applyAlignment="1">
      <alignment horizontal="centerContinuous"/>
    </xf>
    <xf numFmtId="168" fontId="23" fillId="0" borderId="0" xfId="4" applyNumberFormat="1" applyFont="1" applyFill="1"/>
    <xf numFmtId="0" fontId="1" fillId="0" borderId="0" xfId="0" applyFont="1" applyFill="1" applyAlignment="1">
      <alignment horizontal="right"/>
    </xf>
    <xf numFmtId="43" fontId="23" fillId="0" borderId="0" xfId="6" applyNumberFormat="1" applyFont="1" applyFill="1"/>
    <xf numFmtId="0" fontId="2" fillId="0" borderId="14" xfId="0" applyFont="1" applyBorder="1" applyAlignment="1">
      <alignment horizontal="center"/>
    </xf>
    <xf numFmtId="0" fontId="2" fillId="0" borderId="0" xfId="1" applyFont="1" applyFill="1" applyAlignment="1">
      <alignment vertical="top" wrapText="1"/>
    </xf>
    <xf numFmtId="0" fontId="2" fillId="0" borderId="0" xfId="0" applyFont="1" applyFill="1" applyAlignment="1">
      <alignment horizontal="left" vertical="top" wrapText="1"/>
    </xf>
    <xf numFmtId="0" fontId="4" fillId="0" borderId="0" xfId="0" applyFont="1" applyFill="1"/>
    <xf numFmtId="0" fontId="2" fillId="0" borderId="0" xfId="0" applyFont="1" applyFill="1"/>
    <xf numFmtId="0" fontId="2" fillId="0" borderId="0" xfId="1" applyFont="1" applyFill="1" applyAlignment="1">
      <alignment horizontal="left" vertical="top" wrapText="1"/>
    </xf>
    <xf numFmtId="0" fontId="2" fillId="0" borderId="0" xfId="1" applyFont="1" applyFill="1"/>
    <xf numFmtId="164" fontId="3" fillId="0" borderId="0" xfId="0" applyNumberFormat="1" applyFont="1" applyFill="1" applyAlignment="1">
      <alignment horizontal="center"/>
    </xf>
    <xf numFmtId="0" fontId="2" fillId="0" borderId="0" xfId="3" applyFont="1" applyFill="1" applyAlignment="1">
      <alignment horizontal="center"/>
    </xf>
    <xf numFmtId="0" fontId="16" fillId="0" borderId="0" xfId="0" applyFont="1" applyFill="1" applyAlignment="1"/>
    <xf numFmtId="168" fontId="2" fillId="0" borderId="0" xfId="4" applyNumberFormat="1" applyFont="1" applyFill="1"/>
    <xf numFmtId="0" fontId="2" fillId="0" borderId="1" xfId="0" applyFont="1" applyFill="1" applyBorder="1"/>
    <xf numFmtId="3" fontId="2" fillId="0" borderId="1" xfId="0" applyNumberFormat="1" applyFont="1" applyFill="1" applyBorder="1"/>
    <xf numFmtId="168" fontId="2" fillId="0" borderId="1" xfId="0" applyNumberFormat="1" applyFont="1" applyFill="1" applyBorder="1"/>
    <xf numFmtId="168" fontId="9" fillId="0" borderId="0" xfId="0" applyNumberFormat="1" applyFont="1" applyFill="1" applyAlignment="1">
      <alignment horizontal="center"/>
    </xf>
    <xf numFmtId="0" fontId="2" fillId="0" borderId="0" xfId="0" quotePrefix="1" applyFont="1" applyFill="1"/>
    <xf numFmtId="0" fontId="16" fillId="0" borderId="0" xfId="0" applyFont="1" applyFill="1" applyAlignment="1">
      <alignment horizontal="centerContinuous" wrapText="1"/>
    </xf>
    <xf numFmtId="0" fontId="16" fillId="0" borderId="1" xfId="0" applyFont="1" applyFill="1" applyBorder="1" applyAlignment="1">
      <alignment horizontal="centerContinuous"/>
    </xf>
    <xf numFmtId="0" fontId="16" fillId="0" borderId="0" xfId="0" applyFont="1" applyFill="1" applyAlignment="1">
      <alignment vertical="justify"/>
    </xf>
    <xf numFmtId="0" fontId="12" fillId="0" borderId="0" xfId="0" applyFont="1" applyFill="1" applyAlignment="1"/>
    <xf numFmtId="0" fontId="12" fillId="0" borderId="0" xfId="0" applyFont="1" applyFill="1" applyBorder="1" applyAlignment="1"/>
    <xf numFmtId="0" fontId="0" fillId="0" borderId="0" xfId="0" applyFill="1" applyAlignment="1"/>
    <xf numFmtId="164"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1" fontId="2" fillId="0" borderId="0" xfId="1" applyNumberFormat="1" applyFont="1" applyFill="1"/>
    <xf numFmtId="3" fontId="2" fillId="0" borderId="0" xfId="1" applyNumberFormat="1" applyFont="1" applyFill="1"/>
    <xf numFmtId="3" fontId="2" fillId="0" borderId="0" xfId="1" applyNumberFormat="1" applyFont="1" applyFill="1" applyAlignment="1">
      <alignment horizontal="center"/>
    </xf>
    <xf numFmtId="164" fontId="9" fillId="0" borderId="0" xfId="0" applyNumberFormat="1" applyFont="1" applyAlignment="1">
      <alignment horizontal="center"/>
    </xf>
    <xf numFmtId="10" fontId="2" fillId="0" borderId="0" xfId="0" applyNumberFormat="1" applyFont="1" applyFill="1" applyProtection="1">
      <protection locked="0" hidden="1"/>
    </xf>
    <xf numFmtId="0" fontId="2" fillId="0" borderId="0" xfId="0" applyFont="1" applyFill="1" applyAlignment="1">
      <alignment horizontal="left" vertical="top" wrapText="1"/>
    </xf>
    <xf numFmtId="0" fontId="16" fillId="0" borderId="0" xfId="0" applyFont="1" applyFill="1" applyAlignment="1">
      <alignment horizontal="left" vertical="top" wrapText="1"/>
    </xf>
    <xf numFmtId="0" fontId="2" fillId="0" borderId="0" xfId="0" quotePrefix="1" applyFont="1" applyFill="1" applyAlignment="1" applyProtection="1">
      <alignment horizontal="right"/>
      <protection locked="0" hidden="1"/>
    </xf>
    <xf numFmtId="0" fontId="3" fillId="0" borderId="0" xfId="0" applyFont="1" applyFill="1" applyAlignment="1" applyProtection="1">
      <alignment horizontal="centerContinuous"/>
      <protection locked="0" hidden="1"/>
    </xf>
    <xf numFmtId="0" fontId="16" fillId="0" borderId="0" xfId="0" applyFont="1" applyFill="1" applyAlignment="1">
      <alignment vertical="top"/>
    </xf>
    <xf numFmtId="0" fontId="2" fillId="0" borderId="0" xfId="0" applyFont="1" applyFill="1"/>
    <xf numFmtId="0" fontId="2" fillId="0" borderId="0" xfId="1" applyFont="1" applyFill="1"/>
    <xf numFmtId="0" fontId="2" fillId="0" borderId="0" xfId="0" applyFont="1" applyFill="1" applyBorder="1" applyAlignment="1">
      <alignment horizontal="center"/>
    </xf>
    <xf numFmtId="164" fontId="2" fillId="0" borderId="0" xfId="0" applyNumberFormat="1" applyFont="1" applyFill="1" applyAlignment="1">
      <alignment horizontal="center" vertical="center"/>
    </xf>
    <xf numFmtId="168" fontId="11" fillId="0" borderId="0" xfId="3" applyNumberFormat="1" applyFont="1" applyFill="1"/>
    <xf numFmtId="168" fontId="2" fillId="0" borderId="0" xfId="4" applyNumberFormat="1" applyFont="1" applyFill="1" applyBorder="1" applyAlignment="1">
      <alignment horizontal="center" vertical="center"/>
    </xf>
    <xf numFmtId="168" fontId="2" fillId="0" borderId="1" xfId="4" applyNumberFormat="1"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center"/>
    </xf>
    <xf numFmtId="0" fontId="2" fillId="0" borderId="0" xfId="0" applyFont="1" applyFill="1"/>
    <xf numFmtId="0" fontId="2" fillId="0" borderId="0" xfId="1" applyFont="1" applyFill="1" applyAlignment="1">
      <alignment vertical="top" wrapText="1"/>
    </xf>
    <xf numFmtId="0" fontId="16" fillId="0" borderId="0" xfId="0" applyFont="1" applyFill="1" applyAlignment="1"/>
    <xf numFmtId="0" fontId="2" fillId="0" borderId="0" xfId="0" applyFont="1" applyFill="1"/>
    <xf numFmtId="0" fontId="2" fillId="0" borderId="0" xfId="1" applyFont="1" applyFill="1" applyAlignment="1">
      <alignment horizontal="left" vertical="top" wrapText="1"/>
    </xf>
    <xf numFmtId="0" fontId="2" fillId="0" borderId="0" xfId="1" applyFont="1" applyFill="1"/>
    <xf numFmtId="4" fontId="12" fillId="0" borderId="6" xfId="0" applyNumberFormat="1" applyFont="1" applyFill="1" applyBorder="1" applyAlignment="1"/>
    <xf numFmtId="0" fontId="0" fillId="0" borderId="2" xfId="0" applyFill="1" applyBorder="1" applyAlignment="1"/>
    <xf numFmtId="0" fontId="0" fillId="0" borderId="7" xfId="0" applyFill="1" applyBorder="1" applyAlignment="1"/>
    <xf numFmtId="168" fontId="12" fillId="0" borderId="1" xfId="0" applyNumberFormat="1" applyFont="1" applyFill="1" applyBorder="1" applyAlignment="1">
      <alignment horizontal="center"/>
    </xf>
    <xf numFmtId="0" fontId="1" fillId="0" borderId="0" xfId="7" applyFont="1" applyFill="1"/>
    <xf numFmtId="0" fontId="2" fillId="0" borderId="0" xfId="1" applyFont="1" applyFill="1" applyAlignment="1">
      <alignment vertical="top" wrapText="1"/>
    </xf>
    <xf numFmtId="0" fontId="16" fillId="0" borderId="0" xfId="0" applyFont="1" applyFill="1" applyAlignment="1"/>
    <xf numFmtId="0" fontId="2" fillId="0" borderId="0" xfId="1" applyFont="1" applyFill="1" applyAlignment="1">
      <alignment horizontal="left" vertical="top" wrapText="1"/>
    </xf>
    <xf numFmtId="0" fontId="2" fillId="0" borderId="0" xfId="1" applyFont="1" applyFill="1"/>
    <xf numFmtId="0" fontId="2" fillId="0" borderId="0" xfId="0" applyFont="1" applyFill="1" applyBorder="1" applyAlignment="1">
      <alignment horizontal="center"/>
    </xf>
    <xf numFmtId="0" fontId="2" fillId="0" borderId="0" xfId="3" applyFont="1" applyFill="1" applyAlignment="1">
      <alignment horizontal="center"/>
    </xf>
    <xf numFmtId="10" fontId="12" fillId="0" borderId="0" xfId="0" applyNumberFormat="1" applyFont="1"/>
    <xf numFmtId="0" fontId="2" fillId="0" borderId="15" xfId="0" applyFont="1" applyBorder="1" applyAlignment="1">
      <alignment horizontal="center"/>
    </xf>
    <xf numFmtId="164" fontId="12" fillId="0" borderId="0" xfId="7" applyNumberFormat="1" applyFont="1"/>
    <xf numFmtId="0" fontId="2" fillId="0" borderId="0" xfId="1" applyFont="1" applyFill="1" applyAlignment="1">
      <alignment vertical="top" wrapText="1"/>
    </xf>
    <xf numFmtId="0" fontId="2" fillId="0" borderId="0" xfId="1" applyFont="1" applyFill="1"/>
    <xf numFmtId="0" fontId="2" fillId="0" borderId="0" xfId="0" quotePrefix="1" applyFont="1" applyFill="1" applyAlignment="1">
      <alignment horizontal="center" vertical="top"/>
    </xf>
    <xf numFmtId="0" fontId="2" fillId="0" borderId="0" xfId="1" applyFont="1" applyFill="1"/>
    <xf numFmtId="0" fontId="2" fillId="0" borderId="0" xfId="0" applyFont="1" applyFill="1" applyBorder="1" applyAlignment="1">
      <alignment horizontal="center"/>
    </xf>
    <xf numFmtId="0" fontId="4" fillId="0" borderId="0" xfId="1" applyFont="1" applyFill="1" applyBorder="1" applyAlignment="1">
      <alignment horizontal="left"/>
    </xf>
    <xf numFmtId="1" fontId="2" fillId="0" borderId="0" xfId="0" applyNumberFormat="1" applyFont="1" applyFill="1" applyBorder="1" applyAlignment="1">
      <alignment horizontal="center"/>
    </xf>
    <xf numFmtId="3" fontId="12" fillId="0" borderId="0" xfId="0" applyNumberFormat="1" applyFont="1"/>
    <xf numFmtId="3" fontId="11" fillId="0" borderId="0" xfId="1" applyNumberFormat="1" applyFont="1"/>
    <xf numFmtId="3" fontId="11" fillId="0" borderId="1" xfId="1" applyNumberFormat="1" applyFont="1" applyBorder="1"/>
    <xf numFmtId="165" fontId="11" fillId="0" borderId="0" xfId="1" applyNumberFormat="1" applyFont="1" applyAlignment="1">
      <alignment horizontal="center"/>
    </xf>
    <xf numFmtId="165" fontId="2" fillId="0" borderId="0" xfId="1" applyNumberFormat="1" applyAlignment="1">
      <alignment horizontal="center"/>
    </xf>
    <xf numFmtId="3" fontId="11" fillId="0" borderId="0" xfId="0" applyNumberFormat="1" applyFont="1"/>
    <xf numFmtId="174" fontId="11" fillId="0" borderId="0" xfId="6" applyNumberFormat="1" applyFont="1" applyFill="1" applyAlignment="1">
      <alignment horizontal="distributed"/>
    </xf>
    <xf numFmtId="168" fontId="2" fillId="0" borderId="0" xfId="4" applyNumberFormat="1" applyFont="1"/>
    <xf numFmtId="168" fontId="11" fillId="0" borderId="0" xfId="4" applyNumberFormat="1" applyFont="1"/>
    <xf numFmtId="3" fontId="24" fillId="0" borderId="0" xfId="0" applyNumberFormat="1" applyFont="1"/>
    <xf numFmtId="3" fontId="2" fillId="0" borderId="0" xfId="0" applyNumberFormat="1" applyFont="1"/>
    <xf numFmtId="168" fontId="24" fillId="0" borderId="0" xfId="4" applyNumberFormat="1" applyFont="1"/>
    <xf numFmtId="168" fontId="7" fillId="0" borderId="0" xfId="4" applyNumberFormat="1" applyFont="1"/>
    <xf numFmtId="43" fontId="2" fillId="0" borderId="0" xfId="6" applyFont="1"/>
    <xf numFmtId="175" fontId="9" fillId="0" borderId="0" xfId="6" applyNumberFormat="1" applyFont="1"/>
    <xf numFmtId="175" fontId="2" fillId="0" borderId="0" xfId="6" applyNumberFormat="1" applyFont="1"/>
    <xf numFmtId="164" fontId="11" fillId="0" borderId="0" xfId="0" applyNumberFormat="1" applyFont="1" applyFill="1" applyBorder="1" applyAlignment="1">
      <alignment horizontal="center"/>
    </xf>
    <xf numFmtId="164" fontId="11" fillId="0" borderId="1" xfId="0" applyNumberFormat="1" applyFont="1" applyFill="1" applyBorder="1" applyAlignment="1">
      <alignment horizontal="center"/>
    </xf>
    <xf numFmtId="167" fontId="11" fillId="0" borderId="0" xfId="0" applyNumberFormat="1" applyFont="1" applyAlignment="1">
      <alignment horizontal="center"/>
    </xf>
    <xf numFmtId="167" fontId="11" fillId="0" borderId="0" xfId="0" applyNumberFormat="1" applyFont="1" applyAlignment="1">
      <alignment horizontal="right"/>
    </xf>
    <xf numFmtId="0" fontId="11" fillId="0" borderId="0" xfId="0" applyFont="1" applyAlignment="1">
      <alignment horizontal="center"/>
    </xf>
    <xf numFmtId="167" fontId="11" fillId="0" borderId="0" xfId="0" quotePrefix="1" applyNumberFormat="1" applyFont="1" applyAlignment="1">
      <alignment horizontal="right"/>
    </xf>
    <xf numFmtId="0" fontId="11" fillId="0" borderId="0" xfId="0" applyFont="1"/>
    <xf numFmtId="164" fontId="11" fillId="0" borderId="0" xfId="0" applyNumberFormat="1" applyFont="1" applyAlignment="1">
      <alignment horizontal="center"/>
    </xf>
    <xf numFmtId="168" fontId="11" fillId="0" borderId="0" xfId="4" applyNumberFormat="1" applyFont="1" applyFill="1" applyAlignment="1">
      <alignment horizontal="center"/>
    </xf>
    <xf numFmtId="0" fontId="11" fillId="0" borderId="0" xfId="0" applyFont="1" applyFill="1" applyAlignment="1">
      <alignment horizontal="left"/>
    </xf>
    <xf numFmtId="168" fontId="2" fillId="0" borderId="0" xfId="0" applyNumberFormat="1" applyFont="1" applyAlignment="1">
      <alignment horizontal="center"/>
    </xf>
    <xf numFmtId="168" fontId="9" fillId="0" borderId="0" xfId="0" applyNumberFormat="1" applyFont="1" applyAlignment="1">
      <alignment horizontal="center"/>
    </xf>
    <xf numFmtId="164" fontId="11" fillId="0" borderId="0" xfId="0" quotePrefix="1" applyNumberFormat="1" applyFont="1" applyFill="1" applyAlignment="1">
      <alignment horizontal="center"/>
    </xf>
    <xf numFmtId="167" fontId="11" fillId="0" borderId="0" xfId="0" applyNumberFormat="1" applyFont="1" applyFill="1" applyAlignment="1">
      <alignment horizontal="center"/>
    </xf>
    <xf numFmtId="0" fontId="25" fillId="0" borderId="0" xfId="0" applyFont="1" applyFill="1"/>
    <xf numFmtId="167" fontId="11" fillId="0" borderId="0" xfId="0" applyNumberFormat="1" applyFont="1" applyFill="1"/>
    <xf numFmtId="0" fontId="11" fillId="0" borderId="0" xfId="0" applyFont="1" applyFill="1"/>
    <xf numFmtId="15" fontId="2" fillId="0" borderId="0" xfId="0" quotePrefix="1" applyNumberFormat="1" applyFont="1" applyAlignment="1">
      <alignment horizontal="center"/>
    </xf>
    <xf numFmtId="169" fontId="11" fillId="0" borderId="0" xfId="0" applyNumberFormat="1" applyFont="1" applyAlignment="1">
      <alignment horizontal="center"/>
    </xf>
    <xf numFmtId="169" fontId="11" fillId="0" borderId="0" xfId="0" applyNumberFormat="1" applyFont="1"/>
    <xf numFmtId="170" fontId="11" fillId="0" borderId="0" xfId="0" applyNumberFormat="1" applyFont="1"/>
    <xf numFmtId="170" fontId="11" fillId="0" borderId="0" xfId="0" applyNumberFormat="1" applyFont="1" applyAlignment="1">
      <alignment horizontal="right"/>
    </xf>
    <xf numFmtId="170" fontId="11" fillId="0" borderId="0" xfId="0" applyNumberFormat="1" applyFont="1" applyProtection="1">
      <protection locked="0"/>
    </xf>
    <xf numFmtId="169" fontId="11" fillId="0" borderId="0" xfId="0" applyNumberFormat="1" applyFont="1" applyProtection="1">
      <protection locked="0"/>
    </xf>
    <xf numFmtId="170"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Border="1" applyAlignment="1">
      <alignment horizontal="right"/>
    </xf>
    <xf numFmtId="170" fontId="11" fillId="0" borderId="0" xfId="0" applyNumberFormat="1" applyFont="1" applyBorder="1" applyAlignment="1">
      <alignment horizontal="right"/>
    </xf>
    <xf numFmtId="169" fontId="11" fillId="0" borderId="15" xfId="0" applyNumberFormat="1" applyFont="1" applyBorder="1" applyAlignment="1">
      <alignment horizontal="right"/>
    </xf>
    <xf numFmtId="170" fontId="11" fillId="0" borderId="15" xfId="0" applyNumberFormat="1" applyFont="1" applyBorder="1" applyAlignment="1">
      <alignment horizontal="right"/>
    </xf>
    <xf numFmtId="169" fontId="24" fillId="0" borderId="14" xfId="0" applyNumberFormat="1" applyFont="1" applyBorder="1" applyAlignment="1">
      <alignment horizontal="right"/>
    </xf>
    <xf numFmtId="170" fontId="24" fillId="0" borderId="14" xfId="0" applyNumberFormat="1" applyFont="1" applyBorder="1" applyAlignment="1">
      <alignment horizontal="right"/>
    </xf>
    <xf numFmtId="170" fontId="11" fillId="0" borderId="14" xfId="0" applyNumberFormat="1" applyFont="1" applyBorder="1" applyAlignment="1">
      <alignment horizontal="right"/>
    </xf>
    <xf numFmtId="169" fontId="24" fillId="0" borderId="0" xfId="0" applyNumberFormat="1" applyFont="1" applyAlignment="1">
      <alignment horizontal="right"/>
    </xf>
    <xf numFmtId="170" fontId="24" fillId="0" borderId="0" xfId="0" applyNumberFormat="1" applyFont="1" applyAlignment="1">
      <alignment horizontal="right"/>
    </xf>
    <xf numFmtId="3" fontId="11" fillId="0" borderId="0" xfId="0" applyNumberFormat="1" applyFont="1" applyFill="1"/>
    <xf numFmtId="164" fontId="11" fillId="0" borderId="0" xfId="0" applyNumberFormat="1" applyFont="1" applyFill="1"/>
    <xf numFmtId="3" fontId="11" fillId="0" borderId="1" xfId="0" applyNumberFormat="1" applyFont="1" applyFill="1" applyBorder="1"/>
    <xf numFmtId="3" fontId="11" fillId="0" borderId="0" xfId="3" applyNumberFormat="1" applyFont="1" applyFill="1"/>
    <xf numFmtId="168" fontId="11" fillId="0" borderId="0" xfId="4" applyNumberFormat="1" applyFont="1" applyFill="1" applyBorder="1" applyAlignment="1">
      <alignment horizontal="center" vertical="center"/>
    </xf>
    <xf numFmtId="0" fontId="13" fillId="0" borderId="6" xfId="0" applyFont="1" applyFill="1" applyBorder="1" applyAlignment="1">
      <alignment horizontal="center"/>
    </xf>
    <xf numFmtId="175" fontId="2" fillId="0" borderId="8" xfId="6" applyNumberFormat="1" applyFont="1" applyFill="1" applyBorder="1" applyAlignment="1">
      <alignment horizontal="center" vertical="center"/>
    </xf>
    <xf numFmtId="175" fontId="2" fillId="0" borderId="9" xfId="6" applyNumberFormat="1" applyFont="1" applyFill="1" applyBorder="1" applyAlignment="1">
      <alignment horizontal="center" vertical="center"/>
    </xf>
    <xf numFmtId="175" fontId="2" fillId="0" borderId="10" xfId="6" applyNumberFormat="1" applyFont="1" applyFill="1" applyBorder="1" applyAlignment="1">
      <alignment horizontal="center" vertical="center"/>
    </xf>
    <xf numFmtId="175" fontId="2" fillId="0" borderId="11" xfId="6" applyNumberFormat="1" applyFont="1" applyFill="1" applyBorder="1" applyAlignment="1">
      <alignment horizontal="center" vertical="center"/>
    </xf>
    <xf numFmtId="0" fontId="13" fillId="0" borderId="16" xfId="0" applyFont="1" applyFill="1" applyBorder="1" applyAlignment="1">
      <alignment horizontal="center"/>
    </xf>
    <xf numFmtId="168" fontId="12" fillId="0" borderId="17" xfId="4" applyNumberFormat="1" applyFont="1" applyFill="1" applyBorder="1" applyAlignment="1">
      <alignment horizontal="center"/>
    </xf>
    <xf numFmtId="168" fontId="12" fillId="0" borderId="18" xfId="4" applyNumberFormat="1" applyFont="1" applyFill="1" applyBorder="1" applyAlignment="1">
      <alignment horizontal="center"/>
    </xf>
    <xf numFmtId="0" fontId="4" fillId="0" borderId="6" xfId="0" applyFont="1" applyBorder="1" applyAlignment="1" applyProtection="1">
      <alignment horizontal="center"/>
      <protection locked="0" hidden="1"/>
    </xf>
    <xf numFmtId="0" fontId="4" fillId="0" borderId="2" xfId="0" applyFont="1" applyBorder="1" applyAlignment="1" applyProtection="1">
      <alignment horizontal="center"/>
      <protection locked="0" hidden="1"/>
    </xf>
    <xf numFmtId="0" fontId="4" fillId="0" borderId="16" xfId="0" applyFont="1" applyBorder="1" applyAlignment="1" applyProtection="1">
      <alignment horizontal="center"/>
      <protection locked="0" hidden="1"/>
    </xf>
    <xf numFmtId="0" fontId="2" fillId="0" borderId="8" xfId="0" applyFont="1" applyBorder="1" applyProtection="1">
      <protection locked="0" hidden="1"/>
    </xf>
    <xf numFmtId="0" fontId="2" fillId="0" borderId="17" xfId="0" applyFont="1" applyBorder="1" applyProtection="1">
      <protection locked="0" hidden="1"/>
    </xf>
    <xf numFmtId="168" fontId="11" fillId="0" borderId="10" xfId="0" applyNumberFormat="1" applyFont="1" applyBorder="1" applyAlignment="1" applyProtection="1">
      <alignment horizontal="center"/>
      <protection locked="0" hidden="1"/>
    </xf>
    <xf numFmtId="168" fontId="11" fillId="0" borderId="1" xfId="0" applyNumberFormat="1" applyFont="1" applyBorder="1" applyAlignment="1" applyProtection="1">
      <alignment horizontal="center"/>
      <protection locked="0" hidden="1"/>
    </xf>
    <xf numFmtId="168" fontId="2" fillId="0" borderId="18" xfId="0" applyNumberFormat="1" applyFont="1" applyBorder="1" applyAlignment="1" applyProtection="1">
      <alignment horizontal="center"/>
      <protection locked="0" hidden="1"/>
    </xf>
    <xf numFmtId="0" fontId="20" fillId="0" borderId="0" xfId="7" applyFont="1" applyAlignment="1">
      <alignment horizontal="centerContinuous"/>
    </xf>
    <xf numFmtId="0" fontId="1" fillId="0" borderId="0" xfId="7" applyFont="1"/>
    <xf numFmtId="0" fontId="13" fillId="0" borderId="0" xfId="7" applyFont="1"/>
    <xf numFmtId="0" fontId="13" fillId="0" borderId="0" xfId="7" applyFont="1" applyAlignment="1">
      <alignment horizontal="center"/>
    </xf>
    <xf numFmtId="0" fontId="17" fillId="0" borderId="0" xfId="7" applyFont="1" applyAlignment="1">
      <alignment horizontal="centerContinuous"/>
    </xf>
    <xf numFmtId="0" fontId="1" fillId="0" borderId="0" xfId="7" applyFont="1" applyAlignment="1">
      <alignment horizontal="center"/>
    </xf>
    <xf numFmtId="164" fontId="1" fillId="0" borderId="0" xfId="7" applyNumberFormat="1" applyFont="1" applyAlignment="1">
      <alignment horizontal="center"/>
    </xf>
    <xf numFmtId="164" fontId="1" fillId="0" borderId="0" xfId="7" applyNumberFormat="1" applyFont="1"/>
    <xf numFmtId="0" fontId="9" fillId="0" borderId="0" xfId="7" applyFont="1"/>
    <xf numFmtId="164" fontId="2" fillId="0" borderId="0" xfId="7" applyNumberFormat="1" applyFont="1" applyAlignment="1">
      <alignment horizontal="center"/>
    </xf>
    <xf numFmtId="164" fontId="3" fillId="0" borderId="0" xfId="7" applyNumberFormat="1" applyFont="1" applyAlignment="1">
      <alignment horizontal="center"/>
    </xf>
    <xf numFmtId="164" fontId="22" fillId="0" borderId="0" xfId="7" applyNumberFormat="1" applyFont="1" applyAlignment="1">
      <alignment horizontal="center"/>
    </xf>
    <xf numFmtId="0" fontId="2" fillId="0" borderId="0" xfId="1" applyFont="1" applyFill="1" applyAlignment="1">
      <alignment wrapText="1"/>
    </xf>
    <xf numFmtId="0" fontId="2" fillId="0" borderId="0" xfId="1" applyFont="1" applyFill="1" applyAlignment="1">
      <alignment horizontal="left" vertical="top" wrapText="1"/>
    </xf>
    <xf numFmtId="0" fontId="2" fillId="0" borderId="0" xfId="1" applyFont="1" applyFill="1"/>
    <xf numFmtId="0" fontId="3" fillId="0" borderId="0" xfId="0" applyFont="1" applyFill="1" applyAlignment="1">
      <alignment horizontal="center"/>
    </xf>
    <xf numFmtId="0" fontId="2" fillId="0" borderId="1" xfId="0" applyFont="1" applyFill="1" applyBorder="1" applyAlignment="1">
      <alignment horizontal="center"/>
    </xf>
    <xf numFmtId="0" fontId="2" fillId="0" borderId="0" xfId="0" applyFont="1" applyFill="1" applyAlignment="1">
      <alignment horizontal="left" vertical="top" wrapText="1"/>
    </xf>
    <xf numFmtId="0" fontId="3" fillId="0" borderId="1" xfId="0" applyFont="1" applyFill="1" applyBorder="1" applyAlignment="1">
      <alignment horizontal="center"/>
    </xf>
    <xf numFmtId="0" fontId="2" fillId="0" borderId="5" xfId="0" applyFont="1" applyFill="1" applyBorder="1" applyAlignment="1">
      <alignment horizontal="center"/>
    </xf>
    <xf numFmtId="164" fontId="3" fillId="0" borderId="0" xfId="0" applyNumberFormat="1" applyFont="1" applyFill="1" applyAlignment="1">
      <alignment horizontal="center"/>
    </xf>
    <xf numFmtId="0" fontId="2" fillId="0"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vertical="top" wrapText="1"/>
    </xf>
    <xf numFmtId="0" fontId="1" fillId="0" borderId="0" xfId="0" applyFont="1" applyFill="1" applyAlignment="1">
      <alignment vertical="top" wrapText="1"/>
    </xf>
    <xf numFmtId="0" fontId="2" fillId="0" borderId="0" xfId="0" applyFont="1" applyAlignment="1">
      <alignment wrapText="1"/>
    </xf>
    <xf numFmtId="0" fontId="2" fillId="0" borderId="0" xfId="0" applyFont="1" applyAlignment="1">
      <alignment horizontal="left" wrapText="1"/>
    </xf>
    <xf numFmtId="2" fontId="2" fillId="0" borderId="0" xfId="0" applyNumberFormat="1" applyFont="1" applyFill="1" applyAlignment="1">
      <alignment wrapText="1"/>
    </xf>
    <xf numFmtId="0" fontId="2" fillId="0" borderId="1" xfId="3" applyFont="1" applyFill="1" applyBorder="1" applyAlignment="1">
      <alignment horizontal="center"/>
    </xf>
    <xf numFmtId="0" fontId="2" fillId="0" borderId="0" xfId="3" applyFont="1" applyFill="1" applyAlignment="1">
      <alignment horizontal="center"/>
    </xf>
    <xf numFmtId="0" fontId="12" fillId="0" borderId="12" xfId="0" applyFont="1" applyFill="1" applyBorder="1" applyAlignment="1">
      <alignment horizontal="center"/>
    </xf>
    <xf numFmtId="0" fontId="12" fillId="0" borderId="13" xfId="0" applyFont="1" applyFill="1" applyBorder="1" applyAlignment="1">
      <alignment horizontal="center"/>
    </xf>
    <xf numFmtId="4" fontId="12" fillId="0" borderId="12" xfId="0" applyNumberFormat="1" applyFont="1" applyFill="1" applyBorder="1" applyAlignment="1">
      <alignment horizontal="center"/>
    </xf>
    <xf numFmtId="0" fontId="0" fillId="0" borderId="5" xfId="0" applyFill="1" applyBorder="1" applyAlignment="1">
      <alignment horizontal="center"/>
    </xf>
    <xf numFmtId="0" fontId="0" fillId="0" borderId="13" xfId="0" applyFill="1" applyBorder="1" applyAlignment="1">
      <alignment horizontal="center"/>
    </xf>
    <xf numFmtId="0" fontId="1" fillId="0" borderId="0" xfId="7" applyFont="1" applyAlignment="1">
      <alignment wrapText="1"/>
    </xf>
    <xf numFmtId="0" fontId="8" fillId="0" borderId="0" xfId="7" applyAlignment="1">
      <alignment wrapText="1"/>
    </xf>
    <xf numFmtId="0" fontId="12" fillId="0" borderId="0" xfId="7" applyFont="1" applyFill="1" applyAlignment="1">
      <alignment wrapText="1"/>
    </xf>
    <xf numFmtId="0" fontId="8" fillId="0" borderId="0" xfId="7" applyFill="1" applyAlignment="1">
      <alignment wrapText="1"/>
    </xf>
    <xf numFmtId="0" fontId="2" fillId="0" borderId="0" xfId="0" applyFont="1" applyFill="1" applyAlignment="1" applyProtection="1">
      <alignment vertical="top" wrapText="1"/>
      <protection locked="0" hidden="1"/>
    </xf>
    <xf numFmtId="0" fontId="16" fillId="0" borderId="0" xfId="0" applyFont="1" applyAlignment="1">
      <alignment horizontal="left" vertical="top" wrapText="1"/>
    </xf>
  </cellXfs>
  <cellStyles count="13">
    <cellStyle name="Comma" xfId="6" builtinId="3"/>
    <cellStyle name="Comma 2" xfId="9" xr:uid="{00000000-0005-0000-0000-000001000000}"/>
    <cellStyle name="Comma 3" xfId="12" xr:uid="{BACD89CA-3F9A-41ED-9989-05CA1D7B4D9E}"/>
    <cellStyle name="Normal" xfId="0" builtinId="0"/>
    <cellStyle name="Normal 2" xfId="1" xr:uid="{00000000-0005-0000-0000-000004000000}"/>
    <cellStyle name="Normal 3" xfId="2" xr:uid="{00000000-0005-0000-0000-000005000000}"/>
    <cellStyle name="Normal 3 2" xfId="10" xr:uid="{00000000-0005-0000-0000-000006000000}"/>
    <cellStyle name="Normal 4" xfId="11" xr:uid="{BCA7A3CC-F3DC-4F95-922B-3C80A262224F}"/>
    <cellStyle name="Normal 5" xfId="3" xr:uid="{00000000-0005-0000-0000-000007000000}"/>
    <cellStyle name="Normal 5 2" xfId="7" xr:uid="{00000000-0005-0000-0000-000008000000}"/>
    <cellStyle name="Percent" xfId="4" builtinId="5"/>
    <cellStyle name="Percent 2 2" xfId="5" xr:uid="{00000000-0005-0000-0000-00000E000000}"/>
    <cellStyle name="Percent 3" xfId="8" xr:uid="{00000000-0005-0000-0000-00000F000000}"/>
  </cellStyles>
  <dxfs count="0"/>
  <tableStyles count="0" defaultTableStyle="TableStyleMedium2" defaultPivotStyle="PivotStyleLight16"/>
  <colors>
    <mruColors>
      <color rgb="FFDC9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'Exhibit 7.2'!$P$1</c:f>
              <c:strCache>
                <c:ptCount val="1"/>
                <c:pt idx="0">
                  <c:v>On-Level Ratio*</c:v>
                </c:pt>
              </c:strCache>
            </c:strRef>
          </c:tx>
          <c:spPr>
            <a:ln w="19050" cap="rnd">
              <a:solidFill>
                <a:srgbClr val="FF0000"/>
              </a:solidFill>
              <a:round/>
            </a:ln>
            <a:effectLst/>
          </c:spPr>
          <c:marker>
            <c:symbol val="none"/>
          </c:marker>
          <c:dPt>
            <c:idx val="116"/>
            <c:marker>
              <c:symbol val="none"/>
            </c:marker>
            <c:bubble3D val="0"/>
            <c:extLst>
              <c:ext xmlns:c16="http://schemas.microsoft.com/office/drawing/2014/chart" uri="{C3380CC4-5D6E-409C-BE32-E72D297353CC}">
                <c16:uniqueId val="{00000000-2437-4325-871E-1EE8CE468BC0}"/>
              </c:ext>
            </c:extLst>
          </c:dPt>
          <c:dPt>
            <c:idx val="120"/>
            <c:marker>
              <c:symbol val="none"/>
            </c:marker>
            <c:bubble3D val="0"/>
            <c:extLst>
              <c:ext xmlns:c16="http://schemas.microsoft.com/office/drawing/2014/chart" uri="{C3380CC4-5D6E-409C-BE32-E72D297353CC}">
                <c16:uniqueId val="{00000001-2437-4325-871E-1EE8CE468BC0}"/>
              </c:ext>
            </c:extLst>
          </c:dPt>
          <c:dPt>
            <c:idx val="124"/>
            <c:marker>
              <c:symbol val="none"/>
            </c:marker>
            <c:bubble3D val="0"/>
            <c:extLst>
              <c:ext xmlns:c16="http://schemas.microsoft.com/office/drawing/2014/chart" uri="{C3380CC4-5D6E-409C-BE32-E72D297353CC}">
                <c16:uniqueId val="{00000002-2437-4325-871E-1EE8CE468BC0}"/>
              </c:ext>
            </c:extLst>
          </c:dPt>
          <c:dPt>
            <c:idx val="127"/>
            <c:marker>
              <c:symbol val="none"/>
            </c:marker>
            <c:bubble3D val="0"/>
            <c:extLst>
              <c:ext xmlns:c16="http://schemas.microsoft.com/office/drawing/2014/chart" uri="{C3380CC4-5D6E-409C-BE32-E72D297353CC}">
                <c16:uniqueId val="{00000003-2437-4325-871E-1EE8CE468BC0}"/>
              </c:ext>
            </c:extLst>
          </c:dPt>
          <c:dPt>
            <c:idx val="128"/>
            <c:marker>
              <c:symbol val="none"/>
            </c:marker>
            <c:bubble3D val="0"/>
            <c:extLst>
              <c:ext xmlns:c16="http://schemas.microsoft.com/office/drawing/2014/chart" uri="{C3380CC4-5D6E-409C-BE32-E72D297353CC}">
                <c16:uniqueId val="{00000004-2437-4325-871E-1EE8CE468BC0}"/>
              </c:ext>
            </c:extLst>
          </c:dPt>
          <c:dPt>
            <c:idx val="132"/>
            <c:marker>
              <c:symbol val="none"/>
            </c:marker>
            <c:bubble3D val="0"/>
            <c:extLst>
              <c:ext xmlns:c16="http://schemas.microsoft.com/office/drawing/2014/chart" uri="{C3380CC4-5D6E-409C-BE32-E72D297353CC}">
                <c16:uniqueId val="{00000005-2437-4325-871E-1EE8CE468BC0}"/>
              </c:ext>
            </c:extLst>
          </c:dPt>
          <c:dPt>
            <c:idx val="136"/>
            <c:marker>
              <c:symbol val="none"/>
            </c:marker>
            <c:bubble3D val="0"/>
            <c:extLst>
              <c:ext xmlns:c16="http://schemas.microsoft.com/office/drawing/2014/chart" uri="{C3380CC4-5D6E-409C-BE32-E72D297353CC}">
                <c16:uniqueId val="{00000006-2437-4325-871E-1EE8CE468BC0}"/>
              </c:ext>
            </c:extLst>
          </c:dPt>
          <c:dPt>
            <c:idx val="140"/>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07-2437-4325-871E-1EE8CE468BC0}"/>
              </c:ext>
            </c:extLst>
          </c:dPt>
          <c:dLbls>
            <c:dLbl>
              <c:idx val="140"/>
              <c:layout>
                <c:manualLayout>
                  <c:x val="-4.9013796110018139E-2"/>
                  <c:y val="-5.2518091862354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37-4325-871E-1EE8CE468B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7.2'!$O$2:$O$156</c:f>
              <c:numCache>
                <c:formatCode>General</c:formatCode>
                <c:ptCount val="155"/>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3">
                  <c:v>2010.25</c:v>
                </c:pt>
                <c:pt idx="94">
                  <c:v>2010.5</c:v>
                </c:pt>
                <c:pt idx="95">
                  <c:v>2010.75</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pt idx="149">
                  <c:v>2024.25</c:v>
                </c:pt>
                <c:pt idx="150">
                  <c:v>2024.5</c:v>
                </c:pt>
                <c:pt idx="151">
                  <c:v>2024.75</c:v>
                </c:pt>
                <c:pt idx="152">
                  <c:v>2025</c:v>
                </c:pt>
                <c:pt idx="153">
                  <c:v>2025.25</c:v>
                </c:pt>
                <c:pt idx="154">
                  <c:v>2025.5</c:v>
                </c:pt>
              </c:numCache>
            </c:numRef>
          </c:cat>
          <c:val>
            <c:numRef>
              <c:f>'Exhibit 7.2'!$P$2:$P$156</c:f>
              <c:numCache>
                <c:formatCode>0.000</c:formatCode>
                <c:ptCount val="155"/>
                <c:pt idx="0">
                  <c:v>0.37571803685785465</c:v>
                </c:pt>
                <c:pt idx="1">
                  <c:v>0.38284636741520178</c:v>
                </c:pt>
                <c:pt idx="2">
                  <c:v>0.3899746979725488</c:v>
                </c:pt>
                <c:pt idx="3">
                  <c:v>0.39710302852989587</c:v>
                </c:pt>
                <c:pt idx="4">
                  <c:v>0.404231359087243</c:v>
                </c:pt>
                <c:pt idx="5">
                  <c:v>0.41058469268598519</c:v>
                </c:pt>
                <c:pt idx="6">
                  <c:v>0.41693802628472743</c:v>
                </c:pt>
                <c:pt idx="7">
                  <c:v>0.42329135988346966</c:v>
                </c:pt>
                <c:pt idx="8">
                  <c:v>0.42964469348221185</c:v>
                </c:pt>
                <c:pt idx="9">
                  <c:v>0.42974480223076972</c:v>
                </c:pt>
                <c:pt idx="10">
                  <c:v>0.42984491097932753</c:v>
                </c:pt>
                <c:pt idx="11">
                  <c:v>0.4299450197278854</c:v>
                </c:pt>
                <c:pt idx="12">
                  <c:v>0.43004512847644327</c:v>
                </c:pt>
                <c:pt idx="13">
                  <c:v>0.4269918435571296</c:v>
                </c:pt>
                <c:pt idx="14">
                  <c:v>0.42393855863781593</c:v>
                </c:pt>
                <c:pt idx="15">
                  <c:v>0.42088527371850226</c:v>
                </c:pt>
                <c:pt idx="16">
                  <c:v>0.41783198879918859</c:v>
                </c:pt>
                <c:pt idx="17">
                  <c:v>0.41313406010226494</c:v>
                </c:pt>
                <c:pt idx="18">
                  <c:v>0.40843613140534124</c:v>
                </c:pt>
                <c:pt idx="19">
                  <c:v>0.40373820270841759</c:v>
                </c:pt>
                <c:pt idx="20">
                  <c:v>0.39904027401149389</c:v>
                </c:pt>
                <c:pt idx="21">
                  <c:v>0.40202271579770393</c:v>
                </c:pt>
                <c:pt idx="22">
                  <c:v>0.40500515758391398</c:v>
                </c:pt>
                <c:pt idx="23">
                  <c:v>0.40798759937012397</c:v>
                </c:pt>
                <c:pt idx="24">
                  <c:v>0.41097004115633401</c:v>
                </c:pt>
                <c:pt idx="25">
                  <c:v>0.4163422851793358</c:v>
                </c:pt>
                <c:pt idx="26">
                  <c:v>0.4217145292023376</c:v>
                </c:pt>
                <c:pt idx="27">
                  <c:v>0.42708677322533939</c:v>
                </c:pt>
                <c:pt idx="28">
                  <c:v>0.43245901724834118</c:v>
                </c:pt>
                <c:pt idx="29">
                  <c:v>0.43425971615570846</c:v>
                </c:pt>
                <c:pt idx="30">
                  <c:v>0.4360604150630758</c:v>
                </c:pt>
                <c:pt idx="31">
                  <c:v>0.43786111397044303</c:v>
                </c:pt>
                <c:pt idx="32">
                  <c:v>0.43966181287781037</c:v>
                </c:pt>
                <c:pt idx="33">
                  <c:v>0.44215484288571882</c:v>
                </c:pt>
                <c:pt idx="34">
                  <c:v>0.44464787289362734</c:v>
                </c:pt>
                <c:pt idx="35">
                  <c:v>0.44714090290153585</c:v>
                </c:pt>
                <c:pt idx="36">
                  <c:v>0.44963393290944431</c:v>
                </c:pt>
                <c:pt idx="37">
                  <c:v>0.45488962717801235</c:v>
                </c:pt>
                <c:pt idx="38">
                  <c:v>0.46014532144658038</c:v>
                </c:pt>
                <c:pt idx="39">
                  <c:v>0.46540101571514836</c:v>
                </c:pt>
                <c:pt idx="40">
                  <c:v>0.47065670998371639</c:v>
                </c:pt>
                <c:pt idx="41">
                  <c:v>0.46923293394554083</c:v>
                </c:pt>
                <c:pt idx="42">
                  <c:v>0.46780915790736533</c:v>
                </c:pt>
                <c:pt idx="43">
                  <c:v>0.46638538186918982</c:v>
                </c:pt>
                <c:pt idx="44">
                  <c:v>0.46496160583101426</c:v>
                </c:pt>
                <c:pt idx="45">
                  <c:v>0.46753017576464501</c:v>
                </c:pt>
                <c:pt idx="46">
                  <c:v>0.4700987456982757</c:v>
                </c:pt>
                <c:pt idx="47">
                  <c:v>0.47266731563190639</c:v>
                </c:pt>
                <c:pt idx="48">
                  <c:v>0.47523588556553714</c:v>
                </c:pt>
                <c:pt idx="49">
                  <c:v>0.47788302130577509</c:v>
                </c:pt>
                <c:pt idx="50">
                  <c:v>0.48053015704601298</c:v>
                </c:pt>
                <c:pt idx="51">
                  <c:v>0.48317729278625093</c:v>
                </c:pt>
                <c:pt idx="52">
                  <c:v>0.48582442852648888</c:v>
                </c:pt>
                <c:pt idx="53">
                  <c:v>0.48257258875260811</c:v>
                </c:pt>
                <c:pt idx="54">
                  <c:v>0.47932074897872745</c:v>
                </c:pt>
                <c:pt idx="55">
                  <c:v>0.47606890920484668</c:v>
                </c:pt>
                <c:pt idx="56">
                  <c:v>0.47281706943096596</c:v>
                </c:pt>
                <c:pt idx="57">
                  <c:v>0.47200000925964575</c:v>
                </c:pt>
                <c:pt idx="58">
                  <c:v>0.47118294908832548</c:v>
                </c:pt>
                <c:pt idx="59">
                  <c:v>0.4703658889170052</c:v>
                </c:pt>
                <c:pt idx="60">
                  <c:v>0.46954882874568499</c:v>
                </c:pt>
                <c:pt idx="61">
                  <c:v>0.46116715742191333</c:v>
                </c:pt>
                <c:pt idx="62">
                  <c:v>0.45278548609814173</c:v>
                </c:pt>
                <c:pt idx="63">
                  <c:v>0.44440381477437008</c:v>
                </c:pt>
                <c:pt idx="64">
                  <c:v>0.43602214345059842</c:v>
                </c:pt>
                <c:pt idx="65">
                  <c:v>0.42441519816655132</c:v>
                </c:pt>
                <c:pt idx="66">
                  <c:v>0.41280825288250422</c:v>
                </c:pt>
                <c:pt idx="67">
                  <c:v>0.40120130759845707</c:v>
                </c:pt>
                <c:pt idx="68">
                  <c:v>0.38959436231440997</c:v>
                </c:pt>
                <c:pt idx="69">
                  <c:v>0.3942836436210202</c:v>
                </c:pt>
                <c:pt idx="70">
                  <c:v>0.39897292492763048</c:v>
                </c:pt>
                <c:pt idx="71">
                  <c:v>0.40366220623424082</c:v>
                </c:pt>
                <c:pt idx="72">
                  <c:v>0.40835148754085104</c:v>
                </c:pt>
                <c:pt idx="73">
                  <c:v>0.40715640454423907</c:v>
                </c:pt>
                <c:pt idx="74">
                  <c:v>0.4059613215476271</c:v>
                </c:pt>
                <c:pt idx="75">
                  <c:v>0.40476623855101512</c:v>
                </c:pt>
                <c:pt idx="76">
                  <c:v>0.40357115555440315</c:v>
                </c:pt>
                <c:pt idx="77">
                  <c:v>0.40749640447102337</c:v>
                </c:pt>
                <c:pt idx="78">
                  <c:v>0.41142165338764347</c:v>
                </c:pt>
                <c:pt idx="79">
                  <c:v>0.41534690230426363</c:v>
                </c:pt>
                <c:pt idx="80">
                  <c:v>0.41927215122088385</c:v>
                </c:pt>
                <c:pt idx="81">
                  <c:v>0.41756965683832686</c:v>
                </c:pt>
                <c:pt idx="82">
                  <c:v>0.41586716245576993</c:v>
                </c:pt>
                <c:pt idx="83">
                  <c:v>0.414164668073213</c:v>
                </c:pt>
                <c:pt idx="84">
                  <c:v>0.41246217369065602</c:v>
                </c:pt>
                <c:pt idx="85">
                  <c:v>0.41908881068399362</c:v>
                </c:pt>
                <c:pt idx="86">
                  <c:v>0.42571544767733116</c:v>
                </c:pt>
                <c:pt idx="87">
                  <c:v>0.4323420846706687</c:v>
                </c:pt>
                <c:pt idx="88">
                  <c:v>0.4389687216640063</c:v>
                </c:pt>
                <c:pt idx="89">
                  <c:v>0.44306245355204765</c:v>
                </c:pt>
                <c:pt idx="90">
                  <c:v>0.44715618544008906</c:v>
                </c:pt>
                <c:pt idx="91">
                  <c:v>0.45124991732813047</c:v>
                </c:pt>
                <c:pt idx="92">
                  <c:v>0.45534364921617188</c:v>
                </c:pt>
                <c:pt idx="93">
                  <c:v>0.4554786591221659</c:v>
                </c:pt>
                <c:pt idx="94">
                  <c:v>0.45561366902815992</c:v>
                </c:pt>
                <c:pt idx="95">
                  <c:v>0.45574867893415394</c:v>
                </c:pt>
                <c:pt idx="96">
                  <c:v>0.45588368884014802</c:v>
                </c:pt>
                <c:pt idx="97">
                  <c:v>0.45549990921459577</c:v>
                </c:pt>
                <c:pt idx="98">
                  <c:v>0.45511612958904357</c:v>
                </c:pt>
                <c:pt idx="99">
                  <c:v>0.45473234996349138</c:v>
                </c:pt>
                <c:pt idx="100">
                  <c:v>0.45434857033793913</c:v>
                </c:pt>
                <c:pt idx="101">
                  <c:v>0.44858920906571209</c:v>
                </c:pt>
                <c:pt idx="102">
                  <c:v>0.442829847793485</c:v>
                </c:pt>
                <c:pt idx="103">
                  <c:v>0.43707048652125791</c:v>
                </c:pt>
                <c:pt idx="104">
                  <c:v>0.43131112524903081</c:v>
                </c:pt>
                <c:pt idx="105">
                  <c:v>0.42556867986461205</c:v>
                </c:pt>
                <c:pt idx="106">
                  <c:v>0.41982623448019324</c:v>
                </c:pt>
                <c:pt idx="107">
                  <c:v>0.41408378909577448</c:v>
                </c:pt>
                <c:pt idx="108">
                  <c:v>0.40834134371135566</c:v>
                </c:pt>
                <c:pt idx="109">
                  <c:v>0.40892742595403309</c:v>
                </c:pt>
                <c:pt idx="110">
                  <c:v>0.40951350819671056</c:v>
                </c:pt>
                <c:pt idx="111">
                  <c:v>0.41009959043938798</c:v>
                </c:pt>
                <c:pt idx="112">
                  <c:v>0.41068567268206546</c:v>
                </c:pt>
                <c:pt idx="113">
                  <c:v>0.40147286197328258</c:v>
                </c:pt>
                <c:pt idx="114">
                  <c:v>0.39226005126449981</c:v>
                </c:pt>
                <c:pt idx="115">
                  <c:v>0.38304724055571693</c:v>
                </c:pt>
                <c:pt idx="116">
                  <c:v>0.3738344298469341</c:v>
                </c:pt>
                <c:pt idx="117">
                  <c:v>0.36982930170829664</c:v>
                </c:pt>
                <c:pt idx="118">
                  <c:v>0.36582417356965924</c:v>
                </c:pt>
                <c:pt idx="119">
                  <c:v>0.36181904543102172</c:v>
                </c:pt>
                <c:pt idx="120">
                  <c:v>0.35781391729238432</c:v>
                </c:pt>
                <c:pt idx="121">
                  <c:v>0.3568305426597112</c:v>
                </c:pt>
                <c:pt idx="122">
                  <c:v>0.3558471680270382</c:v>
                </c:pt>
                <c:pt idx="123">
                  <c:v>0.35486379339436513</c:v>
                </c:pt>
                <c:pt idx="124">
                  <c:v>0.35388041876169202</c:v>
                </c:pt>
                <c:pt idx="125">
                  <c:v>0.35666003381220523</c:v>
                </c:pt>
                <c:pt idx="126">
                  <c:v>0.3594396488627184</c:v>
                </c:pt>
                <c:pt idx="127">
                  <c:v>0.3622192639132315</c:v>
                </c:pt>
                <c:pt idx="128">
                  <c:v>0.36499887896374472</c:v>
                </c:pt>
                <c:pt idx="129">
                  <c:v>0.36169484388380579</c:v>
                </c:pt>
                <c:pt idx="130">
                  <c:v>0.35839080880386692</c:v>
                </c:pt>
                <c:pt idx="131">
                  <c:v>0.35508677372392805</c:v>
                </c:pt>
                <c:pt idx="132">
                  <c:v>0.35178273864398912</c:v>
                </c:pt>
                <c:pt idx="133">
                  <c:v>0.35776176624683048</c:v>
                </c:pt>
                <c:pt idx="134">
                  <c:v>0.36374079384967184</c:v>
                </c:pt>
                <c:pt idx="135">
                  <c:v>0.3697198214525132</c:v>
                </c:pt>
                <c:pt idx="136">
                  <c:v>0.37569884905535456</c:v>
                </c:pt>
                <c:pt idx="137">
                  <c:v>0.37323919690889418</c:v>
                </c:pt>
                <c:pt idx="138">
                  <c:v>0.37077954476243385</c:v>
                </c:pt>
                <c:pt idx="139">
                  <c:v>0.36831989261597348</c:v>
                </c:pt>
                <c:pt idx="140">
                  <c:v>0.36586024046951315</c:v>
                </c:pt>
                <c:pt idx="141">
                  <c:v>0.36163193510822156</c:v>
                </c:pt>
                <c:pt idx="142">
                  <c:v>0.35740362974693007</c:v>
                </c:pt>
                <c:pt idx="143">
                  <c:v>0.35317532438563859</c:v>
                </c:pt>
                <c:pt idx="144">
                  <c:v>0.34894701902434699</c:v>
                </c:pt>
              </c:numCache>
            </c:numRef>
          </c:val>
          <c:smooth val="0"/>
          <c:extLst>
            <c:ext xmlns:c16="http://schemas.microsoft.com/office/drawing/2014/chart" uri="{C3380CC4-5D6E-409C-BE32-E72D297353CC}">
              <c16:uniqueId val="{00000008-2437-4325-871E-1EE8CE468BC0}"/>
            </c:ext>
          </c:extLst>
        </c:ser>
        <c:ser>
          <c:idx val="1"/>
          <c:order val="1"/>
          <c:tx>
            <c:strRef>
              <c:f>'Exhibit 7.2'!$Q$1</c:f>
              <c:strCache>
                <c:ptCount val="1"/>
                <c:pt idx="0">
                  <c:v>Trend**</c:v>
                </c:pt>
              </c:strCache>
            </c:strRef>
          </c:tx>
          <c:spPr>
            <a:ln w="19050" cap="rnd">
              <a:solidFill>
                <a:srgbClr val="0070C0"/>
              </a:solidFill>
              <a:prstDash val="sysDot"/>
              <a:round/>
            </a:ln>
            <a:effectLst/>
          </c:spPr>
          <c:marker>
            <c:symbol val="none"/>
          </c:marker>
          <c:dPt>
            <c:idx val="124"/>
            <c:marker>
              <c:symbol val="none"/>
            </c:marker>
            <c:bubble3D val="0"/>
            <c:extLst>
              <c:ext xmlns:c16="http://schemas.microsoft.com/office/drawing/2014/chart" uri="{C3380CC4-5D6E-409C-BE32-E72D297353CC}">
                <c16:uniqueId val="{00000009-2437-4325-871E-1EE8CE468BC0}"/>
              </c:ext>
            </c:extLst>
          </c:dPt>
          <c:dPt>
            <c:idx val="127"/>
            <c:marker>
              <c:symbol val="none"/>
            </c:marker>
            <c:bubble3D val="0"/>
            <c:extLst>
              <c:ext xmlns:c16="http://schemas.microsoft.com/office/drawing/2014/chart" uri="{C3380CC4-5D6E-409C-BE32-E72D297353CC}">
                <c16:uniqueId val="{0000000A-2437-4325-871E-1EE8CE468BC0}"/>
              </c:ext>
            </c:extLst>
          </c:dPt>
          <c:dPt>
            <c:idx val="128"/>
            <c:marker>
              <c:symbol val="triangle"/>
              <c:size val="7"/>
              <c:spPr>
                <a:solidFill>
                  <a:schemeClr val="tx1"/>
                </a:solidFill>
                <a:ln w="9525">
                  <a:noFill/>
                </a:ln>
                <a:effectLst/>
              </c:spPr>
            </c:marker>
            <c:bubble3D val="0"/>
            <c:extLst>
              <c:ext xmlns:c16="http://schemas.microsoft.com/office/drawing/2014/chart" uri="{C3380CC4-5D6E-409C-BE32-E72D297353CC}">
                <c16:uniqueId val="{0000000B-2437-4325-871E-1EE8CE468BC0}"/>
              </c:ext>
            </c:extLst>
          </c:dPt>
          <c:dPt>
            <c:idx val="130"/>
            <c:marker>
              <c:symbol val="none"/>
            </c:marker>
            <c:bubble3D val="0"/>
            <c:extLst>
              <c:ext xmlns:c16="http://schemas.microsoft.com/office/drawing/2014/chart" uri="{C3380CC4-5D6E-409C-BE32-E72D297353CC}">
                <c16:uniqueId val="{0000000C-2437-4325-871E-1EE8CE468BC0}"/>
              </c:ext>
            </c:extLst>
          </c:dPt>
          <c:dPt>
            <c:idx val="131"/>
            <c:marker>
              <c:symbol val="none"/>
            </c:marker>
            <c:bubble3D val="0"/>
            <c:extLst>
              <c:ext xmlns:c16="http://schemas.microsoft.com/office/drawing/2014/chart" uri="{C3380CC4-5D6E-409C-BE32-E72D297353CC}">
                <c16:uniqueId val="{0000000D-2437-4325-871E-1EE8CE468BC0}"/>
              </c:ext>
            </c:extLst>
          </c:dPt>
          <c:dPt>
            <c:idx val="132"/>
            <c:marker>
              <c:symbol val="none"/>
            </c:marker>
            <c:bubble3D val="0"/>
            <c:extLst>
              <c:ext xmlns:c16="http://schemas.microsoft.com/office/drawing/2014/chart" uri="{C3380CC4-5D6E-409C-BE32-E72D297353CC}">
                <c16:uniqueId val="{0000000E-2437-4325-871E-1EE8CE468BC0}"/>
              </c:ext>
            </c:extLst>
          </c:dPt>
          <c:dPt>
            <c:idx val="134"/>
            <c:marker>
              <c:symbol val="none"/>
            </c:marker>
            <c:bubble3D val="0"/>
            <c:extLst>
              <c:ext xmlns:c16="http://schemas.microsoft.com/office/drawing/2014/chart" uri="{C3380CC4-5D6E-409C-BE32-E72D297353CC}">
                <c16:uniqueId val="{0000000F-2437-4325-871E-1EE8CE468BC0}"/>
              </c:ext>
            </c:extLst>
          </c:dPt>
          <c:dPt>
            <c:idx val="135"/>
            <c:marker>
              <c:symbol val="none"/>
            </c:marker>
            <c:bubble3D val="0"/>
            <c:spPr>
              <a:ln w="19050" cap="rnd">
                <a:solidFill>
                  <a:schemeClr val="accent5"/>
                </a:solidFill>
                <a:prstDash val="sysDot"/>
                <a:round/>
              </a:ln>
              <a:effectLst/>
            </c:spPr>
            <c:extLst>
              <c:ext xmlns:c16="http://schemas.microsoft.com/office/drawing/2014/chart" uri="{C3380CC4-5D6E-409C-BE32-E72D297353CC}">
                <c16:uniqueId val="{00000011-2437-4325-871E-1EE8CE468BC0}"/>
              </c:ext>
            </c:extLst>
          </c:dPt>
          <c:dPt>
            <c:idx val="138"/>
            <c:marker>
              <c:symbol val="none"/>
            </c:marker>
            <c:bubble3D val="0"/>
            <c:extLst>
              <c:ext xmlns:c16="http://schemas.microsoft.com/office/drawing/2014/chart" uri="{C3380CC4-5D6E-409C-BE32-E72D297353CC}">
                <c16:uniqueId val="{00000012-2437-4325-871E-1EE8CE468BC0}"/>
              </c:ext>
            </c:extLst>
          </c:dPt>
          <c:dPt>
            <c:idx val="139"/>
            <c:marker>
              <c:symbol val="none"/>
            </c:marker>
            <c:bubble3D val="0"/>
            <c:extLst>
              <c:ext xmlns:c16="http://schemas.microsoft.com/office/drawing/2014/chart" uri="{C3380CC4-5D6E-409C-BE32-E72D297353CC}">
                <c16:uniqueId val="{00000013-2437-4325-871E-1EE8CE468BC0}"/>
              </c:ext>
            </c:extLst>
          </c:dPt>
          <c:dPt>
            <c:idx val="140"/>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4-2437-4325-871E-1EE8CE468BC0}"/>
              </c:ext>
            </c:extLst>
          </c:dPt>
          <c:dPt>
            <c:idx val="141"/>
            <c:marker>
              <c:symbol val="none"/>
            </c:marker>
            <c:bubble3D val="0"/>
            <c:extLst>
              <c:ext xmlns:c16="http://schemas.microsoft.com/office/drawing/2014/chart" uri="{C3380CC4-5D6E-409C-BE32-E72D297353CC}">
                <c16:uniqueId val="{00000015-2437-4325-871E-1EE8CE468BC0}"/>
              </c:ext>
            </c:extLst>
          </c:dPt>
          <c:dPt>
            <c:idx val="142"/>
            <c:marker>
              <c:symbol val="none"/>
            </c:marker>
            <c:bubble3D val="0"/>
            <c:extLst>
              <c:ext xmlns:c16="http://schemas.microsoft.com/office/drawing/2014/chart" uri="{C3380CC4-5D6E-409C-BE32-E72D297353CC}">
                <c16:uniqueId val="{00000016-2437-4325-871E-1EE8CE468BC0}"/>
              </c:ext>
            </c:extLst>
          </c:dPt>
          <c:dPt>
            <c:idx val="143"/>
            <c:marker>
              <c:symbol val="none"/>
            </c:marker>
            <c:bubble3D val="0"/>
            <c:extLst>
              <c:ext xmlns:c16="http://schemas.microsoft.com/office/drawing/2014/chart" uri="{C3380CC4-5D6E-409C-BE32-E72D297353CC}">
                <c16:uniqueId val="{00000017-2437-4325-871E-1EE8CE468BC0}"/>
              </c:ext>
            </c:extLst>
          </c:dPt>
          <c:dPt>
            <c:idx val="144"/>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8-2437-4325-871E-1EE8CE468BC0}"/>
              </c:ext>
            </c:extLst>
          </c:dPt>
          <c:dPt>
            <c:idx val="146"/>
            <c:marker>
              <c:symbol val="none"/>
            </c:marker>
            <c:bubble3D val="0"/>
            <c:extLst>
              <c:ext xmlns:c16="http://schemas.microsoft.com/office/drawing/2014/chart" uri="{C3380CC4-5D6E-409C-BE32-E72D297353CC}">
                <c16:uniqueId val="{00000019-2437-4325-871E-1EE8CE468BC0}"/>
              </c:ext>
            </c:extLst>
          </c:dPt>
          <c:dPt>
            <c:idx val="150"/>
            <c:marker>
              <c:symbol val="none"/>
            </c:marker>
            <c:bubble3D val="0"/>
            <c:extLst>
              <c:ext xmlns:c16="http://schemas.microsoft.com/office/drawing/2014/chart" uri="{C3380CC4-5D6E-409C-BE32-E72D297353CC}">
                <c16:uniqueId val="{0000001A-2437-4325-871E-1EE8CE468BC0}"/>
              </c:ext>
            </c:extLst>
          </c:dPt>
          <c:dPt>
            <c:idx val="154"/>
            <c:marker>
              <c:symbol val="square"/>
              <c:size val="7"/>
              <c:spPr>
                <a:solidFill>
                  <a:schemeClr val="accent1"/>
                </a:solidFill>
                <a:ln w="9525">
                  <a:solidFill>
                    <a:schemeClr val="tx1"/>
                  </a:solidFill>
                </a:ln>
                <a:effectLst/>
              </c:spPr>
            </c:marker>
            <c:bubble3D val="0"/>
            <c:extLst>
              <c:ext xmlns:c16="http://schemas.microsoft.com/office/drawing/2014/chart" uri="{C3380CC4-5D6E-409C-BE32-E72D297353CC}">
                <c16:uniqueId val="{0000001B-2437-4325-871E-1EE8CE468BC0}"/>
              </c:ext>
            </c:extLst>
          </c:dPt>
          <c:dLbls>
            <c:dLbl>
              <c:idx val="14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437-4325-871E-1EE8CE468BC0}"/>
                </c:ext>
              </c:extLst>
            </c:dLbl>
            <c:dLbl>
              <c:idx val="144"/>
              <c:layout>
                <c:manualLayout>
                  <c:x val="-3.7250485043613786E-2"/>
                  <c:y val="4.0013784276079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437-4325-871E-1EE8CE468BC0}"/>
                </c:ext>
              </c:extLst>
            </c:dLbl>
            <c:dLbl>
              <c:idx val="154"/>
              <c:layout>
                <c:manualLayout>
                  <c:x val="-1.9605518444007256E-3"/>
                  <c:y val="-4.25146457933343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437-4325-871E-1EE8CE468B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7.2'!$O$2:$O$156</c:f>
              <c:numCache>
                <c:formatCode>General</c:formatCode>
                <c:ptCount val="155"/>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3">
                  <c:v>2010.25</c:v>
                </c:pt>
                <c:pt idx="94">
                  <c:v>2010.5</c:v>
                </c:pt>
                <c:pt idx="95">
                  <c:v>2010.75</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pt idx="149">
                  <c:v>2024.25</c:v>
                </c:pt>
                <c:pt idx="150">
                  <c:v>2024.5</c:v>
                </c:pt>
                <c:pt idx="151">
                  <c:v>2024.75</c:v>
                </c:pt>
                <c:pt idx="152">
                  <c:v>2025</c:v>
                </c:pt>
                <c:pt idx="153">
                  <c:v>2025.25</c:v>
                </c:pt>
                <c:pt idx="154">
                  <c:v>2025.5</c:v>
                </c:pt>
              </c:numCache>
            </c:numRef>
          </c:cat>
          <c:val>
            <c:numRef>
              <c:f>'Exhibit 7.2'!$Q$2:$Q$156</c:f>
              <c:numCache>
                <c:formatCode>General</c:formatCode>
                <c:ptCount val="155"/>
                <c:pt idx="144" formatCode="0.000">
                  <c:v>0.34894701902434699</c:v>
                </c:pt>
                <c:pt idx="145" formatCode="0.000">
                  <c:v>0.35019571818086137</c:v>
                </c:pt>
                <c:pt idx="146" formatCode="0.000">
                  <c:v>0.35144441733737564</c:v>
                </c:pt>
                <c:pt idx="147" formatCode="0.000">
                  <c:v>0.35269311649389001</c:v>
                </c:pt>
                <c:pt idx="148" formatCode="0.000">
                  <c:v>0.35394181565040433</c:v>
                </c:pt>
                <c:pt idx="149" formatCode="0.000">
                  <c:v>0.3542302479799499</c:v>
                </c:pt>
                <c:pt idx="150" formatCode="0.000">
                  <c:v>0.35451868030949552</c:v>
                </c:pt>
                <c:pt idx="151" formatCode="0.000">
                  <c:v>0.35480711263904113</c:v>
                </c:pt>
                <c:pt idx="152" formatCode="0.000">
                  <c:v>0.3550955449685867</c:v>
                </c:pt>
                <c:pt idx="153" formatCode="0.000">
                  <c:v>0.35449594666028039</c:v>
                </c:pt>
                <c:pt idx="154" formatCode="0.000">
                  <c:v>0.35389634835197409</c:v>
                </c:pt>
              </c:numCache>
            </c:numRef>
          </c:val>
          <c:smooth val="0"/>
          <c:extLst>
            <c:ext xmlns:c16="http://schemas.microsoft.com/office/drawing/2014/chart" uri="{C3380CC4-5D6E-409C-BE32-E72D297353CC}">
              <c16:uniqueId val="{0000001C-2437-4325-871E-1EE8CE468BC0}"/>
            </c:ext>
          </c:extLst>
        </c:ser>
        <c:dLbls>
          <c:showLegendKey val="0"/>
          <c:showVal val="0"/>
          <c:showCatName val="0"/>
          <c:showSerName val="0"/>
          <c:showPercent val="0"/>
          <c:showBubbleSize val="0"/>
        </c:dLbls>
        <c:smooth val="0"/>
        <c:axId val="765327400"/>
        <c:axId val="765323872"/>
      </c:lineChart>
      <c:catAx>
        <c:axId val="765327400"/>
        <c:scaling>
          <c:orientation val="minMax"/>
        </c:scaling>
        <c:delete val="0"/>
        <c:axPos val="b"/>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23872"/>
        <c:crosses val="autoZero"/>
        <c:auto val="1"/>
        <c:lblAlgn val="ctr"/>
        <c:lblOffset val="100"/>
        <c:tickMarkSkip val="1"/>
        <c:noMultiLvlLbl val="0"/>
      </c:catAx>
      <c:valAx>
        <c:axId val="765323872"/>
        <c:scaling>
          <c:orientation val="minMax"/>
          <c:max val="0.5"/>
          <c:min val="0.1"/>
        </c:scaling>
        <c:delete val="0"/>
        <c:axPos val="l"/>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27400"/>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'Exhibit 7.4'!$P$1</c:f>
              <c:strCache>
                <c:ptCount val="1"/>
                <c:pt idx="0">
                  <c:v>On-Level Ratio*</c:v>
                </c:pt>
              </c:strCache>
            </c:strRef>
          </c:tx>
          <c:spPr>
            <a:ln w="19050" cap="rnd">
              <a:solidFill>
                <a:srgbClr val="FF0000"/>
              </a:solidFill>
              <a:round/>
            </a:ln>
            <a:effectLst/>
          </c:spPr>
          <c:marker>
            <c:symbol val="none"/>
          </c:marker>
          <c:dPt>
            <c:idx val="116"/>
            <c:marker>
              <c:symbol val="none"/>
            </c:marker>
            <c:bubble3D val="0"/>
            <c:extLst>
              <c:ext xmlns:c16="http://schemas.microsoft.com/office/drawing/2014/chart" uri="{C3380CC4-5D6E-409C-BE32-E72D297353CC}">
                <c16:uniqueId val="{00000000-670E-4391-B76E-182AE7C4C9F8}"/>
              </c:ext>
            </c:extLst>
          </c:dPt>
          <c:dPt>
            <c:idx val="120"/>
            <c:marker>
              <c:symbol val="none"/>
            </c:marker>
            <c:bubble3D val="0"/>
            <c:extLst>
              <c:ext xmlns:c16="http://schemas.microsoft.com/office/drawing/2014/chart" uri="{C3380CC4-5D6E-409C-BE32-E72D297353CC}">
                <c16:uniqueId val="{00000001-670E-4391-B76E-182AE7C4C9F8}"/>
              </c:ext>
            </c:extLst>
          </c:dPt>
          <c:dPt>
            <c:idx val="124"/>
            <c:marker>
              <c:symbol val="none"/>
            </c:marker>
            <c:bubble3D val="0"/>
            <c:extLst>
              <c:ext xmlns:c16="http://schemas.microsoft.com/office/drawing/2014/chart" uri="{C3380CC4-5D6E-409C-BE32-E72D297353CC}">
                <c16:uniqueId val="{00000002-670E-4391-B76E-182AE7C4C9F8}"/>
              </c:ext>
            </c:extLst>
          </c:dPt>
          <c:dPt>
            <c:idx val="128"/>
            <c:marker>
              <c:symbol val="none"/>
            </c:marker>
            <c:bubble3D val="0"/>
            <c:extLst>
              <c:ext xmlns:c16="http://schemas.microsoft.com/office/drawing/2014/chart" uri="{C3380CC4-5D6E-409C-BE32-E72D297353CC}">
                <c16:uniqueId val="{0000000C-CC31-4A4E-883E-2428D34E53E7}"/>
              </c:ext>
            </c:extLst>
          </c:dPt>
          <c:dPt>
            <c:idx val="132"/>
            <c:marker>
              <c:symbol val="none"/>
            </c:marker>
            <c:bubble3D val="0"/>
            <c:extLst>
              <c:ext xmlns:c16="http://schemas.microsoft.com/office/drawing/2014/chart" uri="{C3380CC4-5D6E-409C-BE32-E72D297353CC}">
                <c16:uniqueId val="{0000000B-CC31-4A4E-883E-2428D34E53E7}"/>
              </c:ext>
            </c:extLst>
          </c:dPt>
          <c:dPt>
            <c:idx val="136"/>
            <c:marker>
              <c:symbol val="none"/>
            </c:marker>
            <c:bubble3D val="0"/>
            <c:extLst>
              <c:ext xmlns:c16="http://schemas.microsoft.com/office/drawing/2014/chart" uri="{C3380CC4-5D6E-409C-BE32-E72D297353CC}">
                <c16:uniqueId val="{00000013-51FA-485E-B2FB-ACA1A3F81B71}"/>
              </c:ext>
            </c:extLst>
          </c:dPt>
          <c:dPt>
            <c:idx val="140"/>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5-2A1D-49B5-A778-45FA9EE32148}"/>
              </c:ext>
            </c:extLst>
          </c:dPt>
          <c:dLbls>
            <c:dLbl>
              <c:idx val="140"/>
              <c:layout>
                <c:manualLayout>
                  <c:x val="-4.4947983595909617E-2"/>
                  <c:y val="4.81998177076102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A1D-49B5-A778-45FA9EE321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7.4'!$O$2:$O$156</c:f>
              <c:numCache>
                <c:formatCode>General</c:formatCode>
                <c:ptCount val="155"/>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pt idx="149">
                  <c:v>2024.25</c:v>
                </c:pt>
                <c:pt idx="150">
                  <c:v>2024.5</c:v>
                </c:pt>
                <c:pt idx="151">
                  <c:v>2024.75</c:v>
                </c:pt>
                <c:pt idx="152">
                  <c:v>2025</c:v>
                </c:pt>
                <c:pt idx="153">
                  <c:v>2025.25</c:v>
                </c:pt>
                <c:pt idx="154">
                  <c:v>2025.5</c:v>
                </c:pt>
              </c:numCache>
            </c:numRef>
          </c:cat>
          <c:val>
            <c:numRef>
              <c:f>'Exhibit 7.4'!$P$2:$P$156</c:f>
              <c:numCache>
                <c:formatCode>0.000</c:formatCode>
                <c:ptCount val="155"/>
                <c:pt idx="0">
                  <c:v>0.14846919120616017</c:v>
                </c:pt>
                <c:pt idx="1">
                  <c:v>0.1513262983424743</c:v>
                </c:pt>
                <c:pt idx="2">
                  <c:v>0.15418340547878845</c:v>
                </c:pt>
                <c:pt idx="3">
                  <c:v>0.1570405126151026</c:v>
                </c:pt>
                <c:pt idx="4">
                  <c:v>0.15989761975141673</c:v>
                </c:pt>
                <c:pt idx="5">
                  <c:v>0.16293902504447486</c:v>
                </c:pt>
                <c:pt idx="6">
                  <c:v>0.16598043033753296</c:v>
                </c:pt>
                <c:pt idx="7">
                  <c:v>0.16902183563059109</c:v>
                </c:pt>
                <c:pt idx="8">
                  <c:v>0.17206324092364922</c:v>
                </c:pt>
                <c:pt idx="9">
                  <c:v>0.17151176310602936</c:v>
                </c:pt>
                <c:pt idx="10">
                  <c:v>0.17096028528840951</c:v>
                </c:pt>
                <c:pt idx="11">
                  <c:v>0.17040880747078962</c:v>
                </c:pt>
                <c:pt idx="12">
                  <c:v>0.16985732965316977</c:v>
                </c:pt>
                <c:pt idx="13">
                  <c:v>0.16953206062805765</c:v>
                </c:pt>
                <c:pt idx="14">
                  <c:v>0.16920679160294552</c:v>
                </c:pt>
                <c:pt idx="15">
                  <c:v>0.1688815225778334</c:v>
                </c:pt>
                <c:pt idx="16">
                  <c:v>0.16855625355272127</c:v>
                </c:pt>
                <c:pt idx="17">
                  <c:v>0.16701575477948322</c:v>
                </c:pt>
                <c:pt idx="18">
                  <c:v>0.16547525600624519</c:v>
                </c:pt>
                <c:pt idx="19">
                  <c:v>0.16393475723300713</c:v>
                </c:pt>
                <c:pt idx="20">
                  <c:v>0.16239425845976907</c:v>
                </c:pt>
                <c:pt idx="21">
                  <c:v>0.16323491323006287</c:v>
                </c:pt>
                <c:pt idx="22">
                  <c:v>0.16407556800035666</c:v>
                </c:pt>
                <c:pt idx="23">
                  <c:v>0.16491622277065049</c:v>
                </c:pt>
                <c:pt idx="24">
                  <c:v>0.16575687754094429</c:v>
                </c:pt>
                <c:pt idx="25">
                  <c:v>0.16860404506682758</c:v>
                </c:pt>
                <c:pt idx="26">
                  <c:v>0.17145121259271084</c:v>
                </c:pt>
                <c:pt idx="27">
                  <c:v>0.17429838011859408</c:v>
                </c:pt>
                <c:pt idx="28">
                  <c:v>0.17714554764447737</c:v>
                </c:pt>
                <c:pt idx="29">
                  <c:v>0.18208127821296083</c:v>
                </c:pt>
                <c:pt idx="30">
                  <c:v>0.18701700878144428</c:v>
                </c:pt>
                <c:pt idx="31">
                  <c:v>0.19195273934992774</c:v>
                </c:pt>
                <c:pt idx="32">
                  <c:v>0.19688846991841122</c:v>
                </c:pt>
                <c:pt idx="33">
                  <c:v>0.19849088012918498</c:v>
                </c:pt>
                <c:pt idx="34">
                  <c:v>0.20009329033995871</c:v>
                </c:pt>
                <c:pt idx="35">
                  <c:v>0.20169570055073249</c:v>
                </c:pt>
                <c:pt idx="36">
                  <c:v>0.20329811076150622</c:v>
                </c:pt>
                <c:pt idx="37">
                  <c:v>0.21081443236485436</c:v>
                </c:pt>
                <c:pt idx="38">
                  <c:v>0.21833075396820251</c:v>
                </c:pt>
                <c:pt idx="39">
                  <c:v>0.22584707557155065</c:v>
                </c:pt>
                <c:pt idx="40">
                  <c:v>0.23336339717489879</c:v>
                </c:pt>
                <c:pt idx="41">
                  <c:v>0.23625961459802292</c:v>
                </c:pt>
                <c:pt idx="42">
                  <c:v>0.23915583202114699</c:v>
                </c:pt>
                <c:pt idx="43">
                  <c:v>0.24205204944427106</c:v>
                </c:pt>
                <c:pt idx="44">
                  <c:v>0.24494826686739518</c:v>
                </c:pt>
                <c:pt idx="45">
                  <c:v>0.24485151728294205</c:v>
                </c:pt>
                <c:pt idx="46">
                  <c:v>0.24475476769848892</c:v>
                </c:pt>
                <c:pt idx="47">
                  <c:v>0.24465801811403581</c:v>
                </c:pt>
                <c:pt idx="48">
                  <c:v>0.24456126852958268</c:v>
                </c:pt>
                <c:pt idx="49">
                  <c:v>0.24774625956312135</c:v>
                </c:pt>
                <c:pt idx="50">
                  <c:v>0.25093125059666005</c:v>
                </c:pt>
                <c:pt idx="51">
                  <c:v>0.25411624163019869</c:v>
                </c:pt>
                <c:pt idx="52">
                  <c:v>0.25730123266373739</c:v>
                </c:pt>
                <c:pt idx="53">
                  <c:v>0.25411364793250091</c:v>
                </c:pt>
                <c:pt idx="54">
                  <c:v>0.25092606320126448</c:v>
                </c:pt>
                <c:pt idx="55">
                  <c:v>0.24773847847002803</c:v>
                </c:pt>
                <c:pt idx="56">
                  <c:v>0.24455089373879157</c:v>
                </c:pt>
                <c:pt idx="57">
                  <c:v>0.24752862048103125</c:v>
                </c:pt>
                <c:pt idx="58">
                  <c:v>0.25050634722327092</c:v>
                </c:pt>
                <c:pt idx="59">
                  <c:v>0.25348407396551065</c:v>
                </c:pt>
                <c:pt idx="60">
                  <c:v>0.25646180070775032</c:v>
                </c:pt>
                <c:pt idx="61">
                  <c:v>0.25332863057001342</c:v>
                </c:pt>
                <c:pt idx="62">
                  <c:v>0.25019546043227647</c:v>
                </c:pt>
                <c:pt idx="63">
                  <c:v>0.24706229029453958</c:v>
                </c:pt>
                <c:pt idx="64">
                  <c:v>0.24392912015680268</c:v>
                </c:pt>
                <c:pt idx="65">
                  <c:v>0.25163322351278244</c:v>
                </c:pt>
                <c:pt idx="66">
                  <c:v>0.25933732686876221</c:v>
                </c:pt>
                <c:pt idx="67">
                  <c:v>0.26704143022474203</c:v>
                </c:pt>
                <c:pt idx="68">
                  <c:v>0.27474553358072179</c:v>
                </c:pt>
                <c:pt idx="69">
                  <c:v>0.27670258509760709</c:v>
                </c:pt>
                <c:pt idx="70">
                  <c:v>0.27865963661449245</c:v>
                </c:pt>
                <c:pt idx="71">
                  <c:v>0.28061668813137775</c:v>
                </c:pt>
                <c:pt idx="72">
                  <c:v>0.28257373964826304</c:v>
                </c:pt>
                <c:pt idx="73">
                  <c:v>0.28674915181719379</c:v>
                </c:pt>
                <c:pt idx="74">
                  <c:v>0.29092456398612454</c:v>
                </c:pt>
                <c:pt idx="75">
                  <c:v>0.29509997615505523</c:v>
                </c:pt>
                <c:pt idx="76">
                  <c:v>0.29927538832398598</c:v>
                </c:pt>
                <c:pt idx="77">
                  <c:v>0.30522368563193825</c:v>
                </c:pt>
                <c:pt idx="78">
                  <c:v>0.31117198293989046</c:v>
                </c:pt>
                <c:pt idx="79">
                  <c:v>0.31712028024784272</c:v>
                </c:pt>
                <c:pt idx="80">
                  <c:v>0.32306857755579499</c:v>
                </c:pt>
                <c:pt idx="81">
                  <c:v>0.32519259207725376</c:v>
                </c:pt>
                <c:pt idx="82">
                  <c:v>0.32731660659871253</c:v>
                </c:pt>
                <c:pt idx="83">
                  <c:v>0.32944062112017131</c:v>
                </c:pt>
                <c:pt idx="84">
                  <c:v>0.33156463564163008</c:v>
                </c:pt>
                <c:pt idx="85">
                  <c:v>0.33821358403486679</c:v>
                </c:pt>
                <c:pt idx="86">
                  <c:v>0.3448625324281035</c:v>
                </c:pt>
                <c:pt idx="87">
                  <c:v>0.35151148082134021</c:v>
                </c:pt>
                <c:pt idx="88">
                  <c:v>0.35816042921457686</c:v>
                </c:pt>
                <c:pt idx="89">
                  <c:v>0.36515816125723072</c:v>
                </c:pt>
                <c:pt idx="90">
                  <c:v>0.37215589329988458</c:v>
                </c:pt>
                <c:pt idx="91">
                  <c:v>0.37915362534253844</c:v>
                </c:pt>
                <c:pt idx="92">
                  <c:v>0.3861513573851923</c:v>
                </c:pt>
                <c:pt idx="96">
                  <c:v>0.37039412473228595</c:v>
                </c:pt>
                <c:pt idx="97">
                  <c:v>0.37212341253848924</c:v>
                </c:pt>
                <c:pt idx="98">
                  <c:v>0.37385270034469259</c:v>
                </c:pt>
                <c:pt idx="99">
                  <c:v>0.37558198815089594</c:v>
                </c:pt>
                <c:pt idx="100">
                  <c:v>0.37731127595709923</c:v>
                </c:pt>
                <c:pt idx="101">
                  <c:v>0.37751198134601355</c:v>
                </c:pt>
                <c:pt idx="102">
                  <c:v>0.3777126867349278</c:v>
                </c:pt>
                <c:pt idx="103">
                  <c:v>0.37791339212384212</c:v>
                </c:pt>
                <c:pt idx="104">
                  <c:v>0.37811409751275638</c:v>
                </c:pt>
                <c:pt idx="105">
                  <c:v>0.38146025451645882</c:v>
                </c:pt>
                <c:pt idx="106">
                  <c:v>0.38480641152016126</c:v>
                </c:pt>
                <c:pt idx="107">
                  <c:v>0.38815256852386371</c:v>
                </c:pt>
                <c:pt idx="108">
                  <c:v>0.39149872552756615</c:v>
                </c:pt>
                <c:pt idx="109">
                  <c:v>0.39337751382965269</c:v>
                </c:pt>
                <c:pt idx="110">
                  <c:v>0.39525630213173929</c:v>
                </c:pt>
                <c:pt idx="111">
                  <c:v>0.39713509043382583</c:v>
                </c:pt>
                <c:pt idx="112">
                  <c:v>0.39901387873591243</c:v>
                </c:pt>
                <c:pt idx="113">
                  <c:v>0.39129062993691383</c:v>
                </c:pt>
                <c:pt idx="114">
                  <c:v>0.38356738113791533</c:v>
                </c:pt>
                <c:pt idx="115">
                  <c:v>0.37584413233891678</c:v>
                </c:pt>
                <c:pt idx="116">
                  <c:v>0.36812088353991818</c:v>
                </c:pt>
                <c:pt idx="117">
                  <c:v>0.36717181722232112</c:v>
                </c:pt>
                <c:pt idx="118">
                  <c:v>0.366222750904724</c:v>
                </c:pt>
                <c:pt idx="119">
                  <c:v>0.36527368458712689</c:v>
                </c:pt>
                <c:pt idx="120">
                  <c:v>0.36432461826952983</c:v>
                </c:pt>
                <c:pt idx="121">
                  <c:v>0.36750402860562104</c:v>
                </c:pt>
                <c:pt idx="122">
                  <c:v>0.3706834389417123</c:v>
                </c:pt>
                <c:pt idx="123">
                  <c:v>0.37386284927780356</c:v>
                </c:pt>
                <c:pt idx="124">
                  <c:v>0.37704225961389476</c:v>
                </c:pt>
                <c:pt idx="125">
                  <c:v>0.37796747513750184</c:v>
                </c:pt>
                <c:pt idx="126">
                  <c:v>0.37889269066110887</c:v>
                </c:pt>
                <c:pt idx="127">
                  <c:v>0.37981790618471589</c:v>
                </c:pt>
                <c:pt idx="128">
                  <c:v>0.38074312170832297</c:v>
                </c:pt>
                <c:pt idx="129">
                  <c:v>0.37848814570575906</c:v>
                </c:pt>
                <c:pt idx="130">
                  <c:v>0.3762331697031952</c:v>
                </c:pt>
                <c:pt idx="131">
                  <c:v>0.37397819370063135</c:v>
                </c:pt>
                <c:pt idx="132">
                  <c:v>0.37172321769806743</c:v>
                </c:pt>
                <c:pt idx="133">
                  <c:v>0.38057879590578247</c:v>
                </c:pt>
                <c:pt idx="134">
                  <c:v>0.38943437411349746</c:v>
                </c:pt>
                <c:pt idx="135">
                  <c:v>0.39828995232121245</c:v>
                </c:pt>
                <c:pt idx="136">
                  <c:v>0.40714553052892749</c:v>
                </c:pt>
                <c:pt idx="137">
                  <c:v>0.40271062878908009</c:v>
                </c:pt>
                <c:pt idx="138">
                  <c:v>0.39827572704923275</c:v>
                </c:pt>
                <c:pt idx="139">
                  <c:v>0.39384082530938541</c:v>
                </c:pt>
                <c:pt idx="140">
                  <c:v>0.38940592356953802</c:v>
                </c:pt>
                <c:pt idx="141">
                  <c:v>0.38739041354306425</c:v>
                </c:pt>
                <c:pt idx="142">
                  <c:v>0.38537490351659054</c:v>
                </c:pt>
                <c:pt idx="143">
                  <c:v>0.38335939349011677</c:v>
                </c:pt>
                <c:pt idx="144">
                  <c:v>0.38134388346364301</c:v>
                </c:pt>
              </c:numCache>
            </c:numRef>
          </c:val>
          <c:smooth val="0"/>
          <c:extLst>
            <c:ext xmlns:c16="http://schemas.microsoft.com/office/drawing/2014/chart" uri="{C3380CC4-5D6E-409C-BE32-E72D297353CC}">
              <c16:uniqueId val="{00000003-670E-4391-B76E-182AE7C4C9F8}"/>
            </c:ext>
          </c:extLst>
        </c:ser>
        <c:ser>
          <c:idx val="1"/>
          <c:order val="1"/>
          <c:tx>
            <c:strRef>
              <c:f>'Exhibit 7.4'!$Q$1</c:f>
              <c:strCache>
                <c:ptCount val="1"/>
                <c:pt idx="0">
                  <c:v>Trend**</c:v>
                </c:pt>
              </c:strCache>
            </c:strRef>
          </c:tx>
          <c:spPr>
            <a:ln w="19050" cap="rnd">
              <a:solidFill>
                <a:srgbClr val="0070C0"/>
              </a:solidFill>
              <a:prstDash val="sysDot"/>
              <a:round/>
            </a:ln>
            <a:effectLst/>
          </c:spPr>
          <c:marker>
            <c:symbol val="none"/>
          </c:marker>
          <c:dPt>
            <c:idx val="127"/>
            <c:marker>
              <c:symbol val="none"/>
            </c:marker>
            <c:bubble3D val="0"/>
            <c:extLst>
              <c:ext xmlns:c16="http://schemas.microsoft.com/office/drawing/2014/chart" uri="{C3380CC4-5D6E-409C-BE32-E72D297353CC}">
                <c16:uniqueId val="{00000004-670E-4391-B76E-182AE7C4C9F8}"/>
              </c:ext>
            </c:extLst>
          </c:dPt>
          <c:dPt>
            <c:idx val="128"/>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05-670E-4391-B76E-182AE7C4C9F8}"/>
              </c:ext>
            </c:extLst>
          </c:dPt>
          <c:dPt>
            <c:idx val="130"/>
            <c:marker>
              <c:symbol val="none"/>
            </c:marker>
            <c:bubble3D val="0"/>
            <c:extLst>
              <c:ext xmlns:c16="http://schemas.microsoft.com/office/drawing/2014/chart" uri="{C3380CC4-5D6E-409C-BE32-E72D297353CC}">
                <c16:uniqueId val="{00000006-670E-4391-B76E-182AE7C4C9F8}"/>
              </c:ext>
            </c:extLst>
          </c:dPt>
          <c:dPt>
            <c:idx val="132"/>
            <c:marker>
              <c:symbol val="none"/>
            </c:marker>
            <c:bubble3D val="0"/>
            <c:extLst>
              <c:ext xmlns:c16="http://schemas.microsoft.com/office/drawing/2014/chart" uri="{C3380CC4-5D6E-409C-BE32-E72D297353CC}">
                <c16:uniqueId val="{00000012-3A2E-40F3-BA76-09DA8A70122A}"/>
              </c:ext>
            </c:extLst>
          </c:dPt>
          <c:dPt>
            <c:idx val="134"/>
            <c:marker>
              <c:symbol val="none"/>
            </c:marker>
            <c:bubble3D val="0"/>
            <c:extLst>
              <c:ext xmlns:c16="http://schemas.microsoft.com/office/drawing/2014/chart" uri="{C3380CC4-5D6E-409C-BE32-E72D297353CC}">
                <c16:uniqueId val="{00000007-670E-4391-B76E-182AE7C4C9F8}"/>
              </c:ext>
            </c:extLst>
          </c:dPt>
          <c:dPt>
            <c:idx val="135"/>
            <c:marker>
              <c:symbol val="none"/>
            </c:marker>
            <c:bubble3D val="0"/>
            <c:spPr>
              <a:ln w="19050" cap="rnd">
                <a:solidFill>
                  <a:srgbClr val="0070C0"/>
                </a:solidFill>
                <a:prstDash val="sysDot"/>
                <a:round/>
              </a:ln>
              <a:effectLst>
                <a:outerShdw blurRad="50800" dist="50800" dir="5400000" algn="ctr" rotWithShape="0">
                  <a:schemeClr val="bg1"/>
                </a:outerShdw>
              </a:effectLst>
            </c:spPr>
            <c:extLst>
              <c:ext xmlns:c16="http://schemas.microsoft.com/office/drawing/2014/chart" uri="{C3380CC4-5D6E-409C-BE32-E72D297353CC}">
                <c16:uniqueId val="{00000008-670E-4391-B76E-182AE7C4C9F8}"/>
              </c:ext>
            </c:extLst>
          </c:dPt>
          <c:dPt>
            <c:idx val="137"/>
            <c:marker>
              <c:symbol val="none"/>
            </c:marker>
            <c:bubble3D val="0"/>
            <c:extLst>
              <c:ext xmlns:c16="http://schemas.microsoft.com/office/drawing/2014/chart" uri="{C3380CC4-5D6E-409C-BE32-E72D297353CC}">
                <c16:uniqueId val="{00000009-670E-4391-B76E-182AE7C4C9F8}"/>
              </c:ext>
            </c:extLst>
          </c:dPt>
          <c:dPt>
            <c:idx val="138"/>
            <c:marker>
              <c:symbol val="none"/>
            </c:marker>
            <c:bubble3D val="0"/>
            <c:extLst>
              <c:ext xmlns:c16="http://schemas.microsoft.com/office/drawing/2014/chart" uri="{C3380CC4-5D6E-409C-BE32-E72D297353CC}">
                <c16:uniqueId val="{0000000A-670E-4391-B76E-182AE7C4C9F8}"/>
              </c:ext>
            </c:extLst>
          </c:dPt>
          <c:dPt>
            <c:idx val="139"/>
            <c:marker>
              <c:symbol val="none"/>
            </c:marker>
            <c:bubble3D val="0"/>
            <c:extLst>
              <c:ext xmlns:c16="http://schemas.microsoft.com/office/drawing/2014/chart" uri="{C3380CC4-5D6E-409C-BE32-E72D297353CC}">
                <c16:uniqueId val="{0000000D-06C2-4AEC-87FE-68A2F0D556CF}"/>
              </c:ext>
            </c:extLst>
          </c:dPt>
          <c:dPt>
            <c:idx val="140"/>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4-97CC-46FA-8BC0-C59FCFDF2CC3}"/>
              </c:ext>
            </c:extLst>
          </c:dPt>
          <c:dPt>
            <c:idx val="142"/>
            <c:marker>
              <c:symbol val="square"/>
              <c:size val="7"/>
              <c:spPr>
                <a:noFill/>
                <a:ln w="9525">
                  <a:noFill/>
                </a:ln>
                <a:effectLst/>
              </c:spPr>
            </c:marker>
            <c:bubble3D val="0"/>
            <c:extLst>
              <c:ext xmlns:c16="http://schemas.microsoft.com/office/drawing/2014/chart" uri="{C3380CC4-5D6E-409C-BE32-E72D297353CC}">
                <c16:uniqueId val="{0000000E-8016-4E96-A4D0-03C78DA476C8}"/>
              </c:ext>
            </c:extLst>
          </c:dPt>
          <c:dPt>
            <c:idx val="143"/>
            <c:marker>
              <c:symbol val="none"/>
            </c:marker>
            <c:bubble3D val="0"/>
            <c:extLst>
              <c:ext xmlns:c16="http://schemas.microsoft.com/office/drawing/2014/chart" uri="{C3380CC4-5D6E-409C-BE32-E72D297353CC}">
                <c16:uniqueId val="{00000010-E7A7-4A7D-B236-CDF4ED6032FB}"/>
              </c:ext>
            </c:extLst>
          </c:dPt>
          <c:dPt>
            <c:idx val="144"/>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6-2A1D-49B5-A778-45FA9EE32148}"/>
              </c:ext>
            </c:extLst>
          </c:dPt>
          <c:dPt>
            <c:idx val="146"/>
            <c:marker>
              <c:symbol val="none"/>
            </c:marker>
            <c:bubble3D val="0"/>
            <c:extLst>
              <c:ext xmlns:c16="http://schemas.microsoft.com/office/drawing/2014/chart" uri="{C3380CC4-5D6E-409C-BE32-E72D297353CC}">
                <c16:uniqueId val="{0000000F-E7A7-4A7D-B236-CDF4ED6032FB}"/>
              </c:ext>
            </c:extLst>
          </c:dPt>
          <c:dPt>
            <c:idx val="150"/>
            <c:marker>
              <c:symbol val="none"/>
            </c:marker>
            <c:bubble3D val="0"/>
            <c:extLst>
              <c:ext xmlns:c16="http://schemas.microsoft.com/office/drawing/2014/chart" uri="{C3380CC4-5D6E-409C-BE32-E72D297353CC}">
                <c16:uniqueId val="{00000014-1C64-47CF-B046-DEDAE7776F83}"/>
              </c:ext>
            </c:extLst>
          </c:dPt>
          <c:dPt>
            <c:idx val="153"/>
            <c:marker>
              <c:symbol val="square"/>
              <c:size val="7"/>
              <c:spPr>
                <a:noFill/>
                <a:ln w="9525">
                  <a:noFill/>
                </a:ln>
                <a:effectLst/>
              </c:spPr>
            </c:marker>
            <c:bubble3D val="0"/>
            <c:extLst>
              <c:ext xmlns:c16="http://schemas.microsoft.com/office/drawing/2014/chart" uri="{C3380CC4-5D6E-409C-BE32-E72D297353CC}">
                <c16:uniqueId val="{00000017-2A1D-49B5-A778-45FA9EE32148}"/>
              </c:ext>
            </c:extLst>
          </c:dPt>
          <c:dPt>
            <c:idx val="154"/>
            <c:marker>
              <c:symbol val="square"/>
              <c:size val="7"/>
              <c:spPr>
                <a:solidFill>
                  <a:schemeClr val="accent1"/>
                </a:solidFill>
                <a:ln w="9525">
                  <a:solidFill>
                    <a:schemeClr val="tx1"/>
                  </a:solidFill>
                </a:ln>
                <a:effectLst/>
              </c:spPr>
            </c:marker>
            <c:bubble3D val="0"/>
            <c:extLst>
              <c:ext xmlns:c16="http://schemas.microsoft.com/office/drawing/2014/chart" uri="{C3380CC4-5D6E-409C-BE32-E72D297353CC}">
                <c16:uniqueId val="{00000018-4FE4-412F-B7CE-4BD32D5A1060}"/>
              </c:ext>
            </c:extLst>
          </c:dPt>
          <c:dLbls>
            <c:dLbl>
              <c:idx val="144"/>
              <c:layout>
                <c:manualLayout>
                  <c:x val="-4.9094384500955886E-2"/>
                  <c:y val="-6.05010306472434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A1D-49B5-A778-45FA9EE32148}"/>
                </c:ext>
              </c:extLst>
            </c:dLbl>
            <c:dLbl>
              <c:idx val="15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FE4-412F-B7CE-4BD32D5A10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7.4'!$O$2:$O$156</c:f>
              <c:numCache>
                <c:formatCode>General</c:formatCode>
                <c:ptCount val="155"/>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pt idx="149">
                  <c:v>2024.25</c:v>
                </c:pt>
                <c:pt idx="150">
                  <c:v>2024.5</c:v>
                </c:pt>
                <c:pt idx="151">
                  <c:v>2024.75</c:v>
                </c:pt>
                <c:pt idx="152">
                  <c:v>2025</c:v>
                </c:pt>
                <c:pt idx="153">
                  <c:v>2025.25</c:v>
                </c:pt>
                <c:pt idx="154">
                  <c:v>2025.5</c:v>
                </c:pt>
              </c:numCache>
            </c:numRef>
          </c:cat>
          <c:val>
            <c:numRef>
              <c:f>'Exhibit 7.4'!$Q$2:$Q$156</c:f>
              <c:numCache>
                <c:formatCode>General</c:formatCode>
                <c:ptCount val="155"/>
                <c:pt idx="144" formatCode="0.000">
                  <c:v>0.38134388346364301</c:v>
                </c:pt>
                <c:pt idx="145" formatCode="0.000">
                  <c:v>0.38284100239243279</c:v>
                </c:pt>
                <c:pt idx="146" formatCode="0.000">
                  <c:v>0.38433812132122258</c:v>
                </c:pt>
                <c:pt idx="147" formatCode="0.000">
                  <c:v>0.38583524025001237</c:v>
                </c:pt>
                <c:pt idx="148" formatCode="0.000">
                  <c:v>0.3873323591788021</c:v>
                </c:pt>
                <c:pt idx="149" formatCode="0.000">
                  <c:v>0.38860987058678859</c:v>
                </c:pt>
                <c:pt idx="150" formatCode="0.000">
                  <c:v>0.38988738199477502</c:v>
                </c:pt>
                <c:pt idx="151" formatCode="0.000">
                  <c:v>0.3911648934027615</c:v>
                </c:pt>
                <c:pt idx="152" formatCode="0.000">
                  <c:v>0.39244240481074799</c:v>
                </c:pt>
                <c:pt idx="153" formatCode="0.000">
                  <c:v>0.39210112485767434</c:v>
                </c:pt>
                <c:pt idx="154" formatCode="0.000">
                  <c:v>0.39175984490460075</c:v>
                </c:pt>
              </c:numCache>
            </c:numRef>
          </c:val>
          <c:smooth val="0"/>
          <c:extLst>
            <c:ext xmlns:c16="http://schemas.microsoft.com/office/drawing/2014/chart" uri="{C3380CC4-5D6E-409C-BE32-E72D297353CC}">
              <c16:uniqueId val="{0000000B-670E-4391-B76E-182AE7C4C9F8}"/>
            </c:ext>
          </c:extLst>
        </c:ser>
        <c:dLbls>
          <c:showLegendKey val="0"/>
          <c:showVal val="0"/>
          <c:showCatName val="0"/>
          <c:showSerName val="0"/>
          <c:showPercent val="0"/>
          <c:showBubbleSize val="0"/>
        </c:dLbls>
        <c:smooth val="0"/>
        <c:axId val="765317600"/>
        <c:axId val="765325440"/>
      </c:lineChart>
      <c:catAx>
        <c:axId val="765317600"/>
        <c:scaling>
          <c:orientation val="minMax"/>
        </c:scaling>
        <c:delete val="0"/>
        <c:axPos val="b"/>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25440"/>
        <c:crosses val="autoZero"/>
        <c:auto val="1"/>
        <c:lblAlgn val="ctr"/>
        <c:lblOffset val="100"/>
        <c:tickMarkSkip val="1"/>
        <c:noMultiLvlLbl val="0"/>
      </c:catAx>
      <c:valAx>
        <c:axId val="765325440"/>
        <c:scaling>
          <c:orientation val="minMax"/>
          <c:max val="0.5"/>
          <c:min val="0.1"/>
        </c:scaling>
        <c:delete val="0"/>
        <c:axPos val="l"/>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17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304799</xdr:colOff>
      <xdr:row>3</xdr:row>
      <xdr:rowOff>9524</xdr:rowOff>
    </xdr:from>
    <xdr:to>
      <xdr:col>10</xdr:col>
      <xdr:colOff>413845</xdr:colOff>
      <xdr:row>34</xdr:row>
      <xdr:rowOff>0</xdr:rowOff>
    </xdr:to>
    <xdr:graphicFrame macro="">
      <xdr:nvGraphicFramePr>
        <xdr:cNvPr id="2" name="Chart 1">
          <a:extLst>
            <a:ext uri="{FF2B5EF4-FFF2-40B4-BE49-F238E27FC236}">
              <a16:creationId xmlns:a16="http://schemas.microsoft.com/office/drawing/2014/main" id="{9C5EC0E1-C414-4DC6-89A4-FFC1503EB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255950</xdr:colOff>
      <xdr:row>29</xdr:row>
      <xdr:rowOff>129599</xdr:rowOff>
    </xdr:from>
    <xdr:to>
      <xdr:col>10</xdr:col>
      <xdr:colOff>490267</xdr:colOff>
      <xdr:row>33</xdr:row>
      <xdr:rowOff>86359</xdr:rowOff>
    </xdr:to>
    <xdr:sp macro="" textlink="PPY">
      <xdr:nvSpPr>
        <xdr:cNvPr id="3" name="TextBox 2">
          <a:extLst>
            <a:ext uri="{FF2B5EF4-FFF2-40B4-BE49-F238E27FC236}">
              <a16:creationId xmlns:a16="http://schemas.microsoft.com/office/drawing/2014/main" id="{B862AA4B-280B-4509-BF0F-21A12EE8BCC7}"/>
            </a:ext>
          </a:extLst>
        </xdr:cNvPr>
        <xdr:cNvSpPr txBox="1"/>
      </xdr:nvSpPr>
      <xdr:spPr>
        <a:xfrm rot="16200000">
          <a:off x="6166879" y="5039070"/>
          <a:ext cx="604460" cy="234317"/>
        </a:xfrm>
        <a:prstGeom prst="rect">
          <a:avLst/>
        </a:prstGeom>
        <a:noFill/>
        <a:ln w="9525"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2ADAD23C-7F61-4D31-BE08-4CCBD23A946A}" type="TxLink">
            <a:rPr lang="en-US" sz="1000" b="0" i="0" u="none" strike="noStrike">
              <a:solidFill>
                <a:schemeClr val="tx1">
                  <a:lumMod val="65000"/>
                  <a:lumOff val="35000"/>
                </a:schemeClr>
              </a:solidFill>
              <a:latin typeface="Arial"/>
              <a:cs typeface="Arial"/>
            </a:rPr>
            <a:pPr algn="r"/>
            <a:t>9/1/2025</a:t>
          </a:fld>
          <a:endParaRPr lang="en-US" sz="10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0</xdr:col>
      <xdr:colOff>82365</xdr:colOff>
      <xdr:row>4</xdr:row>
      <xdr:rowOff>28575</xdr:rowOff>
    </xdr:from>
    <xdr:to>
      <xdr:col>0</xdr:col>
      <xdr:colOff>304801</xdr:colOff>
      <xdr:row>30</xdr:row>
      <xdr:rowOff>3</xdr:rowOff>
    </xdr:to>
    <xdr:sp macro="" textlink="">
      <xdr:nvSpPr>
        <xdr:cNvPr id="4" name="TextBox 3">
          <a:extLst>
            <a:ext uri="{FF2B5EF4-FFF2-40B4-BE49-F238E27FC236}">
              <a16:creationId xmlns:a16="http://schemas.microsoft.com/office/drawing/2014/main" id="{AEE36DE7-3EE5-4A5F-97A2-A258E081FBD1}"/>
            </a:ext>
          </a:extLst>
        </xdr:cNvPr>
        <xdr:cNvSpPr txBox="1"/>
      </xdr:nvSpPr>
      <xdr:spPr>
        <a:xfrm rot="16200000">
          <a:off x="-1897156" y="2684371"/>
          <a:ext cx="4181478" cy="222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US" sz="1000" b="0" i="0" u="none" strike="noStrike" baseline="0">
              <a:solidFill>
                <a:schemeClr val="dk1"/>
              </a:solidFill>
              <a:latin typeface="Arial" panose="020B0604020202020204" pitchFamily="34" charset="0"/>
              <a:ea typeface="+mn-ea"/>
              <a:cs typeface="Arial" panose="020B0604020202020204" pitchFamily="34" charset="0"/>
            </a:rPr>
            <a:t>On-level Indemnity to Pure Premium Ratio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3</xdr:row>
      <xdr:rowOff>9524</xdr:rowOff>
    </xdr:from>
    <xdr:to>
      <xdr:col>10</xdr:col>
      <xdr:colOff>425824</xdr:colOff>
      <xdr:row>34</xdr:row>
      <xdr:rowOff>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250091</xdr:colOff>
      <xdr:row>29</xdr:row>
      <xdr:rowOff>116081</xdr:rowOff>
    </xdr:from>
    <xdr:to>
      <xdr:col>10</xdr:col>
      <xdr:colOff>446309</xdr:colOff>
      <xdr:row>33</xdr:row>
      <xdr:rowOff>60139</xdr:rowOff>
    </xdr:to>
    <xdr:sp macro="" textlink="PPY">
      <xdr:nvSpPr>
        <xdr:cNvPr id="3" name="TextBox 2">
          <a:extLst>
            <a:ext uri="{FF2B5EF4-FFF2-40B4-BE49-F238E27FC236}">
              <a16:creationId xmlns:a16="http://schemas.microsoft.com/office/drawing/2014/main" id="{00000000-0008-0000-1F00-000003000000}"/>
            </a:ext>
          </a:extLst>
        </xdr:cNvPr>
        <xdr:cNvSpPr txBox="1"/>
      </xdr:nvSpPr>
      <xdr:spPr>
        <a:xfrm rot="16200000">
          <a:off x="6135132" y="5045578"/>
          <a:ext cx="588828" cy="196218"/>
        </a:xfrm>
        <a:prstGeom prst="rect">
          <a:avLst/>
        </a:prstGeom>
        <a:noFill/>
        <a:ln w="9525"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81DFD75B-BB91-4ABB-9700-B2DF63341322}" type="TxLink">
            <a:rPr lang="en-US" sz="1000" b="0" i="0" u="none" strike="noStrike">
              <a:solidFill>
                <a:schemeClr val="tx1">
                  <a:lumMod val="65000"/>
                  <a:lumOff val="35000"/>
                </a:schemeClr>
              </a:solidFill>
              <a:latin typeface="Arial"/>
              <a:cs typeface="Arial"/>
            </a:rPr>
            <a:pPr algn="r"/>
            <a:t>9/1/2025</a:t>
          </a:fld>
          <a:endParaRPr lang="en-US" sz="10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0</xdr:col>
      <xdr:colOff>133350</xdr:colOff>
      <xdr:row>4</xdr:row>
      <xdr:rowOff>76200</xdr:rowOff>
    </xdr:from>
    <xdr:to>
      <xdr:col>0</xdr:col>
      <xdr:colOff>355786</xdr:colOff>
      <xdr:row>30</xdr:row>
      <xdr:rowOff>47628</xdr:rowOff>
    </xdr:to>
    <xdr:sp macro="" textlink="">
      <xdr:nvSpPr>
        <xdr:cNvPr id="4" name="TextBox 3">
          <a:extLst>
            <a:ext uri="{FF2B5EF4-FFF2-40B4-BE49-F238E27FC236}">
              <a16:creationId xmlns:a16="http://schemas.microsoft.com/office/drawing/2014/main" id="{00000000-0008-0000-1F00-000004000000}"/>
            </a:ext>
          </a:extLst>
        </xdr:cNvPr>
        <xdr:cNvSpPr txBox="1"/>
      </xdr:nvSpPr>
      <xdr:spPr>
        <a:xfrm rot="16200000">
          <a:off x="-1920466" y="2815816"/>
          <a:ext cx="4330068" cy="222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US" sz="1000" b="0" i="0" u="none" strike="noStrike" baseline="0">
              <a:solidFill>
                <a:schemeClr val="dk1"/>
              </a:solidFill>
              <a:latin typeface="Arial" panose="020B0604020202020204" pitchFamily="34" charset="0"/>
              <a:ea typeface="+mn-ea"/>
              <a:cs typeface="Arial" panose="020B0604020202020204" pitchFamily="34" charset="0"/>
            </a:rPr>
            <a:t>On-level Medical to Pure Premium Ratio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1000R/Dec23/9-1-24%20Filing/Loss%20Analysis%20Exhib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1000R/June19/9-3-2019%20Agenda/Loss%20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Loss%20Analysis\2017%202Q\Working%20Version%20-%20for%209-5-17%20Agenda\CW\Exhibits%201-8%20and%20Alt%20Methods%20Quarterly%20Loss%20Analysis%20-%209-5-2017%20Agen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tuarial\Public\Shared\CWong%20Shared%20Files\Project%20Challenge%20Accepted\Main%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otnotes"/>
      <sheetName val="Cover"/>
      <sheetName val="Exhibit 1"/>
      <sheetName val="Exhibit 2.1.1"/>
      <sheetName val="Exhibit 2.1.2"/>
      <sheetName val="Exhibit 2.2.1"/>
      <sheetName val="Exhibit 2.2.2"/>
      <sheetName val="Exhibit 2.3.1"/>
      <sheetName val="Exhibit 2.3.2"/>
      <sheetName val="Exhibit 2.4.1"/>
      <sheetName val="Exhibit 2.4.2"/>
      <sheetName val="Exhibit 2.5.1"/>
      <sheetName val="Exhibit 2.5.2"/>
      <sheetName val="Exhibits 2.5.3 - 2.5.6"/>
      <sheetName val="Exhibit 2.6.1"/>
      <sheetName val="Exhibit 2.6.2"/>
      <sheetName val="Exhibit 3.1"/>
      <sheetName val="Exhibit 3.2"/>
      <sheetName val="Exhibit 3.3"/>
      <sheetName val="Exhibit 3.4"/>
      <sheetName val="Exhibit 4.1"/>
      <sheetName val="Exhibit 4.2"/>
      <sheetName val="Exhibit 4.3"/>
      <sheetName val="Exhibit 4.4"/>
      <sheetName val="Exhibit 5.1"/>
      <sheetName val="Exhibit 5.2"/>
      <sheetName val="Exhibit 6.1"/>
      <sheetName val="Exhibit 6.2"/>
      <sheetName val="Exhibit 6.3"/>
      <sheetName val="Exhibit 6.4"/>
      <sheetName val="Exhibit 7.1"/>
      <sheetName val="Exhibit 7.2 - BS Method"/>
      <sheetName val="Exhibit 7.3"/>
      <sheetName val="Exhibit 7.4 - BS Method"/>
      <sheetName val="Exhibit 8"/>
    </sheetNames>
    <sheetDataSet>
      <sheetData sheetId="0"/>
      <sheetData sheetId="1">
        <row r="1">
          <cell r="B1">
            <v>45291</v>
          </cell>
          <cell r="E1">
            <v>2023</v>
          </cell>
          <cell r="H1">
            <v>2023</v>
          </cell>
        </row>
        <row r="2">
          <cell r="E2">
            <v>4</v>
          </cell>
        </row>
        <row r="11">
          <cell r="B11">
            <v>2023</v>
          </cell>
        </row>
        <row r="12">
          <cell r="B12" t="str">
            <v>9/1/2025</v>
          </cell>
        </row>
        <row r="15">
          <cell r="B15" t="str">
            <v>Appendix B, Exhibit 2</v>
          </cell>
        </row>
        <row r="18">
          <cell r="B18">
            <v>468</v>
          </cell>
        </row>
        <row r="19">
          <cell r="B19">
            <v>312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
          <cell r="A1" t="str">
            <v>Projected On-Level Accident Year</v>
          </cell>
        </row>
      </sheetData>
      <sheetData sheetId="31">
        <row r="1">
          <cell r="P1" t="str">
            <v>On-Level Ratio*</v>
          </cell>
        </row>
      </sheetData>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lusions"/>
      <sheetName val="All Source Data"/>
      <sheetName val="Source Data for Med Rfm Adj"/>
      <sheetName val="Market Share"/>
      <sheetName val="Historical Data-Freeze"/>
      <sheetName val="Exhibit 1"/>
      <sheetName val="Exhibit 2.1 Data"/>
      <sheetName val="Exhibit 2.1"/>
      <sheetName val="Exhibit 2.2 Data"/>
      <sheetName val="Exhibit 2.2"/>
      <sheetName val="Exhibit 2.3 Data"/>
      <sheetName val="Exhibit 2.3"/>
      <sheetName val="Exhibit 2.4 Data"/>
      <sheetName val="Exhibit 2.4 Pharm Adj"/>
      <sheetName val="SB1160 Lien Adj"/>
      <sheetName val="Exhibit 2.4"/>
      <sheetName val="Exh2.5 Agenda_Regular Method"/>
      <sheetName val="Exh2.5 Agenda_BS Method"/>
      <sheetName val="Exh2.6 Agenda_Regular Method"/>
      <sheetName val="Exh2.6 Agenda - BS"/>
      <sheetName val="Exhibit 3"/>
      <sheetName val="Exhibit 4.1"/>
      <sheetName val="Exhibit 4.2"/>
      <sheetName val="Chg in Med CPI for Exh 4.2"/>
      <sheetName val="Exhibit 4.3"/>
      <sheetName val="Exhibit 4.4"/>
      <sheetName val="Exhibit 5.1"/>
      <sheetName val="Exhibit 5.2"/>
      <sheetName val="Exh 5.2_Prem Earned Out"/>
      <sheetName val="Exhibit 6.1"/>
      <sheetName val="Exhibit 6.2"/>
      <sheetName val="Exhibit 6.3"/>
      <sheetName val="Exhibit 6.3_Inc MCCP"/>
      <sheetName val="Exh6.3_MO LDF"/>
      <sheetName val="Exhibit 6.4 Data"/>
      <sheetName val="Exhibit 6.4"/>
      <sheetName val="Exhibit 7.1"/>
      <sheetName val="Exhibit 7.2"/>
      <sheetName val="Exhibit 7.3"/>
      <sheetName val="Exhibit 7.4"/>
      <sheetName val="Exhibit 8"/>
      <sheetName val="Exhibit 9"/>
      <sheetName val="Exhibit 10"/>
      <sheetName val="Exhibit 11.1-11.2"/>
      <sheetName val="Exhibit 11.3"/>
      <sheetName val="Pivot-All Insurers"/>
      <sheetName val="For Slides"/>
    </sheetNames>
    <sheetDataSet>
      <sheetData sheetId="0"/>
      <sheetData sheetId="1"/>
      <sheetData sheetId="2"/>
      <sheetData sheetId="3">
        <row r="1">
          <cell r="E1">
            <v>2016</v>
          </cell>
        </row>
      </sheetData>
      <sheetData sheetId="4"/>
      <sheetData sheetId="5">
        <row r="2">
          <cell r="E2">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xh1 Agenda"/>
      <sheetName val="Exh2_1"/>
      <sheetName val="Exh2.1 Agenda"/>
      <sheetName val="Exh2_2"/>
      <sheetName val="Exh2.2 Agenda"/>
      <sheetName val="Exh2_3_x SB863"/>
      <sheetName val="Exh2_3_Selected"/>
      <sheetName val="Exh2.3 Agenda"/>
      <sheetName val="Exh2_4"/>
      <sheetName val="Exh2_4_Selected"/>
      <sheetName val="Ex 2.4 Data"/>
      <sheetName val="Exh2.4 Agenda"/>
      <sheetName val="Exh2.5 Agenda"/>
      <sheetName val="Exh2.6 Agenda"/>
      <sheetName val="Exh2.5 Agenda - BS"/>
      <sheetName val="Exh2.6 Agenda - BS"/>
      <sheetName val="Exh3.1 Paid BS Latest Yr Agenda"/>
      <sheetName val="Exh3.2 Paid BS Latest Yr Agenda"/>
      <sheetName val="OAG Factors"/>
      <sheetName val="Exh4_1(without PDRS)"/>
      <sheetName val="Exh3.2 Agenda"/>
      <sheetName val="Exh4.1 Agenda"/>
      <sheetName val="Exh_4_1_No_Freq_&amp;_Ref_Impact"/>
      <sheetName val="Exh4.2_full impact Reforms"/>
      <sheetName val="Exh4.2 Agenda"/>
      <sheetName val="Exh_4.4 No_Freq_Impact Proj"/>
      <sheetName val="Restructure Exh_4_Medical"/>
      <sheetName val="Exh4.3 Agenda"/>
      <sheetName val="Exh_4.4 full impact Reforms"/>
      <sheetName val="Exh4.4 Agenda"/>
      <sheetName val="Exh_4.4 No_Freq_Impact"/>
      <sheetName val="Exh_4.4_wth SB863_Sev_Only"/>
      <sheetName val="Exh_4.3 wth SB863 Severity Only"/>
      <sheetName val="Exh_4.4 wth SB863 Severity Only"/>
      <sheetName val="Medical Legal 7_16_1993"/>
      <sheetName val="IHFS"/>
      <sheetName val="Exh5.1 Agenda"/>
      <sheetName val="Exh5.2_for_1-1-13_Filing_x_wage"/>
      <sheetName val="Exh5.2 - Unadj for Indust Avg"/>
      <sheetName val="Exh5.2_Adj for Industry Avg"/>
      <sheetName val="Exh_7.1_Paid_BS_Latest_Yr"/>
      <sheetName val="Exhibit 7.2 - BS Method"/>
      <sheetName val="Exh_7.3_Paid_BS__Latest_Yr"/>
      <sheetName val="Exhibit 7.4 - BS Method"/>
      <sheetName val="Exh8 Agenda"/>
      <sheetName val="Exh3.1 Agenda"/>
      <sheetName val="Summary_of_Alts"/>
      <sheetName val="Exh3Incurred3YrAve"/>
      <sheetName val="Exh7.1_ Incurred3YrAve"/>
      <sheetName val="Exh7.3_ Incurred3YrAve"/>
      <sheetName val="Exh7.3_ Incrd3YrAve-For Mark "/>
      <sheetName val="Exh3IncurredLatestYear"/>
      <sheetName val="Exh7.1_IncurredLatYr"/>
      <sheetName val="Exh7.3_ IncurredLatYr"/>
      <sheetName val="Exh7.3_ IncredLatYr-For Mark"/>
      <sheetName val="Exh3IncurredLatestYearReformAdj"/>
      <sheetName val="Exh7.1_IncurredLatYrReformAdj"/>
      <sheetName val="Exh7.3_ IncurredLatYrReformAdj"/>
      <sheetName val="Exh3_Incurred_BS_Method"/>
      <sheetName val="Exh7.1_Incurred_BS_Ind"/>
      <sheetName val="Exh7.3_Incurred_BS_Med"/>
      <sheetName val="Exh3_Inc_BS_Method-3yr Avg"/>
      <sheetName val="Exh7.1_Incurred_BS_Ind-3yr Avg"/>
      <sheetName val="Exh7.3_Incurred_BS_Med-3yr Avg"/>
      <sheetName val="Exh3_UnadjPaid_3YrAve"/>
      <sheetName val="Exh7.1_ UnadjPaid_3YrAve"/>
      <sheetName val="Exh7.3_ Unadj_Paid_3YrAve"/>
      <sheetName val="Exh3_Unadj_Paid_Latest_Year"/>
      <sheetName val="Exh7.1_Unadj_Paid_Latest_Year"/>
      <sheetName val="Exh7.3_Unadj_Paid_Latest_Year"/>
      <sheetName val="Exh3_Paid_Latest_Year_375"/>
      <sheetName val="Exh7.1_Paid_Latest_Year_375"/>
      <sheetName val="Exh7.3_Paid_Latest_Year_375"/>
      <sheetName val="Exh3_Latest Yr Pd Reform Adj"/>
      <sheetName val="Exh7.1_Latest Yr Pd Reform Adj"/>
      <sheetName val="Exh7.3_Latest Yr Pd Reform Adj"/>
      <sheetName val="Exh3_Paid_BS_3-Yr Avg"/>
      <sheetName val="Exh_7.1_Paid_BS_3-Yr Avg"/>
      <sheetName val="Exh_7.3_Paid_BS_3-Yr Avg"/>
      <sheetName val="Exh3_Paid_BS_Latest_Year"/>
      <sheetName val="Exh_7.1_Trend_Latest_Year"/>
      <sheetName val="Exh_7.3_Trend_Latest_Year"/>
      <sheetName val="Exh_7.1_Trend_Ind Avg Severity"/>
      <sheetName val="Exh_7.3_Trend_Med Avg Severity"/>
      <sheetName val="Post_05_LR Trend_Exh_7.1"/>
      <sheetName val="Post_05_LR Trend_Exh_7.3"/>
      <sheetName val="5Yr_LR Trend_Exh_7.1"/>
      <sheetName val="5Yr_LR Trend_Exh_7.3"/>
      <sheetName val="5Yr_LR Fitted Trend_Exh_7.1"/>
      <sheetName val="5Yr_LR Fitted Trend_Exh_7.3"/>
      <sheetName val="Exh2_3_SB863_BS_Method_Avg"/>
      <sheetName val="Exh3_Selected_w Ult351Inc Tail"/>
      <sheetName val="Exh_7.1_Select_w_Ult351Inc Tail"/>
      <sheetName val="Exh_7.3_Select_w_Ult351Inc_Tail"/>
      <sheetName val="Exh3_Reforms_SB863_RBRVS_Only"/>
      <sheetName val="Exh_7.1_Reforms_SB863_RBRVS_Onl"/>
      <sheetName val="Exh_7.3_Reforms_SB863_RBRVS_Onl"/>
      <sheetName val="Exh7.1_Paid_BF_to_27_CL_to_Ult"/>
      <sheetName val="Exh7.3_Paid_BF_to_27_CL_to_Ult"/>
      <sheetName val="Exh2_3_BS_x_Reforms "/>
      <sheetName val="Exh2_4_BS_x_Reforms"/>
      <sheetName val="Exh3_Paid_BS_x_Reforms"/>
      <sheetName val="Exh_7.1_Paid_BS_x_Reforms"/>
      <sheetName val="Exh_7.1_SB863+Post10LR Trend"/>
      <sheetName val="Exh_7.3_SB863+Post10LR Trend"/>
      <sheetName val="Post_08_Sev_Trend_Exh_7.1 "/>
      <sheetName val="Post_08_Sev_Trend_Exh_7.3 "/>
      <sheetName val="Exh_4.4 SB863 + 2.5%MoreSB863"/>
      <sheetName val="Exh_7.3_Trend_+ 2.5% xtra SB863"/>
      <sheetName val="Post_08_Sev_Trend_Exh_7.1"/>
      <sheetName val="Post_08_Sev_Trend_Exh_7.3"/>
      <sheetName val="Exh7.1_Avg Exp_&amp;_FullConst_Trd"/>
      <sheetName val="Exh7.3_Avg Exp_&amp;_FullConst_Trd"/>
      <sheetName val="Exh_7.1_Mod_Freq_notempconst"/>
      <sheetName val="Exh_7.3_Mod_Freq_notempconst"/>
      <sheetName val="Exh_7.1_Avg_Trd1_&amp;_Trd3"/>
      <sheetName val="Exh_7.3_Avg_Trd1_&amp;_Trd3"/>
      <sheetName val="Exh_4.4 with SB863 CDI Method"/>
      <sheetName val="Exh_7.3_CDI_Trend"/>
      <sheetName val="Exh3 Pd 3 yr-ave (Unadj)"/>
      <sheetName val="Exh7.1_Pd 3YrAvg"/>
      <sheetName val="Exh3Pd_LatestYr_Unadj"/>
      <sheetName val="Exh7.1Pd_LatestYr_Unadj"/>
      <sheetName val="Post_04_Trend_no_wage_Exh_7.1"/>
      <sheetName val="Post_04_Trend_no_wage_Exh_7.3"/>
      <sheetName val="ExpTrend2_4(1)"/>
    </sheetNames>
    <sheetDataSet>
      <sheetData sheetId="0"/>
      <sheetData sheetId="1"/>
      <sheetData sheetId="2">
        <row r="43">
          <cell r="I43">
            <v>1.004</v>
          </cell>
        </row>
      </sheetData>
      <sheetData sheetId="3"/>
      <sheetData sheetId="4">
        <row r="42">
          <cell r="I42">
            <v>1.0309999999999999</v>
          </cell>
        </row>
      </sheetData>
      <sheetData sheetId="5"/>
      <sheetData sheetId="6"/>
      <sheetData sheetId="7">
        <row r="6">
          <cell r="AJ6">
            <v>2017</v>
          </cell>
          <cell r="AL6" t="str">
            <v>Pd 18/6</v>
          </cell>
          <cell r="AM6">
            <v>9.9090000000000007</v>
          </cell>
          <cell r="AN6" t="str">
            <v>Ult/8/6Pd</v>
          </cell>
          <cell r="AO6">
            <v>50.373749493460302</v>
          </cell>
          <cell r="AP6">
            <v>53.385092238179361</v>
          </cell>
        </row>
        <row r="7">
          <cell r="AJ7">
            <v>2016</v>
          </cell>
          <cell r="AK7">
            <v>0</v>
          </cell>
          <cell r="AL7" t="str">
            <v>Pd 30/18</v>
          </cell>
          <cell r="AM7">
            <v>2.056</v>
          </cell>
          <cell r="AN7" t="str">
            <v>Ult//18Pd</v>
          </cell>
          <cell r="AO7">
            <v>5.0836360372853262</v>
          </cell>
          <cell r="AP7">
            <v>5.3875357995942421</v>
          </cell>
        </row>
        <row r="8">
          <cell r="AJ8">
            <v>2015</v>
          </cell>
          <cell r="AK8">
            <v>0</v>
          </cell>
          <cell r="AL8" t="str">
            <v>Pd 42/30</v>
          </cell>
          <cell r="AM8">
            <v>1.3959999999999999</v>
          </cell>
          <cell r="AN8" t="str">
            <v>Ult//30Pd</v>
          </cell>
          <cell r="AO8">
            <v>2.4725856212477266</v>
          </cell>
          <cell r="AP8">
            <v>2.6203967896859153</v>
          </cell>
        </row>
        <row r="9">
          <cell r="AJ9">
            <v>2014</v>
          </cell>
          <cell r="AK9">
            <v>0</v>
          </cell>
          <cell r="AL9" t="str">
            <v>Pd 54/42</v>
          </cell>
          <cell r="AM9">
            <v>1.1819999999999999</v>
          </cell>
          <cell r="AN9" t="str">
            <v>Ult//42Pd</v>
          </cell>
          <cell r="AO9">
            <v>1.7711931384296038</v>
          </cell>
          <cell r="AP9">
            <v>1.8770750642449254</v>
          </cell>
        </row>
        <row r="10">
          <cell r="AJ10">
            <v>2013</v>
          </cell>
          <cell r="AK10">
            <v>0</v>
          </cell>
          <cell r="AL10" t="str">
            <v>Pd 66/54</v>
          </cell>
          <cell r="AM10">
            <v>1.1080000000000001</v>
          </cell>
          <cell r="AN10" t="str">
            <v>Ult//54Pd</v>
          </cell>
          <cell r="AO10">
            <v>1.4984713523093096</v>
          </cell>
          <cell r="AP10">
            <v>1.5284407793554959</v>
          </cell>
        </row>
        <row r="11">
          <cell r="AJ11">
            <v>2012</v>
          </cell>
          <cell r="AK11">
            <v>0</v>
          </cell>
          <cell r="AL11" t="str">
            <v>Pd 78/66</v>
          </cell>
          <cell r="AM11">
            <v>1.069</v>
          </cell>
          <cell r="AN11" t="str">
            <v>Ult//66Pd</v>
          </cell>
          <cell r="AO11">
            <v>1.3524109677881855</v>
          </cell>
          <cell r="AP11">
            <v>1.3524109677881855</v>
          </cell>
        </row>
        <row r="12">
          <cell r="AJ12">
            <v>2011</v>
          </cell>
          <cell r="AK12">
            <v>0</v>
          </cell>
          <cell r="AL12" t="str">
            <v>Pd 90/78</v>
          </cell>
          <cell r="AM12">
            <v>1.0469999999999999</v>
          </cell>
          <cell r="AN12" t="str">
            <v>Ult//78Pd</v>
          </cell>
          <cell r="AO12">
            <v>1.2651178370329144</v>
          </cell>
          <cell r="AP12">
            <v>1.2651178370329144</v>
          </cell>
        </row>
        <row r="13">
          <cell r="AJ13">
            <v>2010</v>
          </cell>
          <cell r="AK13">
            <v>0</v>
          </cell>
          <cell r="AL13" t="str">
            <v>Pd 102/90</v>
          </cell>
          <cell r="AM13">
            <v>1.0369999999999999</v>
          </cell>
          <cell r="AN13" t="str">
            <v>Ult//90Pd</v>
          </cell>
          <cell r="AO13">
            <v>1.2083264919130032</v>
          </cell>
          <cell r="AP13">
            <v>1.2083264919130032</v>
          </cell>
        </row>
        <row r="14">
          <cell r="AJ14">
            <v>2009</v>
          </cell>
          <cell r="AK14">
            <v>0</v>
          </cell>
          <cell r="AL14" t="str">
            <v>Pd 114/102</v>
          </cell>
          <cell r="AM14">
            <v>1.024</v>
          </cell>
          <cell r="AN14" t="str">
            <v>Ult/102Pd</v>
          </cell>
          <cell r="AO14">
            <v>1.1652135891157216</v>
          </cell>
          <cell r="AP14">
            <v>1.1652135891157216</v>
          </cell>
        </row>
        <row r="15">
          <cell r="AJ15">
            <v>2008</v>
          </cell>
          <cell r="AK15">
            <v>0</v>
          </cell>
          <cell r="AL15" t="str">
            <v>Pd 126/114</v>
          </cell>
          <cell r="AM15">
            <v>1.0236666666666665</v>
          </cell>
          <cell r="AN15" t="str">
            <v>Ult/114Pd</v>
          </cell>
          <cell r="AO15">
            <v>1.1379038956208218</v>
          </cell>
          <cell r="AP15">
            <v>1.1379038956208218</v>
          </cell>
        </row>
        <row r="16">
          <cell r="AJ16">
            <v>2007</v>
          </cell>
          <cell r="AK16">
            <v>0</v>
          </cell>
          <cell r="AL16" t="str">
            <v>Pd 138/126</v>
          </cell>
          <cell r="AM16">
            <v>1.018</v>
          </cell>
          <cell r="AN16" t="str">
            <v>Ult/126Pd</v>
          </cell>
          <cell r="AO16">
            <v>1.1115961207627698</v>
          </cell>
          <cell r="AP16">
            <v>1.1115961207627698</v>
          </cell>
        </row>
        <row r="17">
          <cell r="AJ17">
            <v>2006</v>
          </cell>
          <cell r="AK17">
            <v>0</v>
          </cell>
          <cell r="AL17" t="str">
            <v>Pd 150/138</v>
          </cell>
          <cell r="AM17">
            <v>1.0136666666666667</v>
          </cell>
          <cell r="AN17" t="str">
            <v>Ult/138Pd</v>
          </cell>
          <cell r="AO17">
            <v>1.091941179531208</v>
          </cell>
          <cell r="AP17">
            <v>1.091941179531208</v>
          </cell>
        </row>
        <row r="18">
          <cell r="AJ18">
            <v>2005</v>
          </cell>
          <cell r="AK18">
            <v>0</v>
          </cell>
          <cell r="AL18" t="str">
            <v>Pd 162/150</v>
          </cell>
          <cell r="AM18">
            <v>1.0096666666666667</v>
          </cell>
          <cell r="AN18" t="str">
            <v>Ult/150Pd</v>
          </cell>
          <cell r="AO18">
            <v>1.0772191840163181</v>
          </cell>
          <cell r="AP18">
            <v>1.0772191840163181</v>
          </cell>
        </row>
        <row r="19">
          <cell r="AJ19">
            <v>2004</v>
          </cell>
          <cell r="AK19">
            <v>0</v>
          </cell>
          <cell r="AL19" t="str">
            <v>Pd 174/162</v>
          </cell>
          <cell r="AM19">
            <v>1.0076666666666667</v>
          </cell>
          <cell r="AN19" t="str">
            <v>Ult/162Pd</v>
          </cell>
          <cell r="AO19">
            <v>1.0669057616536659</v>
          </cell>
          <cell r="AP19">
            <v>1.0669057616536659</v>
          </cell>
        </row>
        <row r="20">
          <cell r="AJ20">
            <v>2003</v>
          </cell>
          <cell r="AK20">
            <v>0</v>
          </cell>
          <cell r="AL20" t="str">
            <v>Pd 186/174</v>
          </cell>
          <cell r="AM20">
            <v>1.006</v>
          </cell>
          <cell r="AN20" t="str">
            <v>Ult/174Pd</v>
          </cell>
          <cell r="AO20">
            <v>1.0587883840426719</v>
          </cell>
          <cell r="AP20">
            <v>1.0587883840426719</v>
          </cell>
        </row>
        <row r="21">
          <cell r="AJ21">
            <v>2002</v>
          </cell>
          <cell r="AK21">
            <v>0</v>
          </cell>
          <cell r="AL21" t="str">
            <v>Pd 198/186</v>
          </cell>
          <cell r="AM21">
            <v>1.0049999999999999</v>
          </cell>
          <cell r="AN21" t="str">
            <v>Ult/186Pd</v>
          </cell>
          <cell r="AO21">
            <v>1.0524735427859562</v>
          </cell>
          <cell r="AP21">
            <v>1.0524735427859562</v>
          </cell>
        </row>
        <row r="22">
          <cell r="AJ22">
            <v>2001</v>
          </cell>
          <cell r="AK22">
            <v>0</v>
          </cell>
          <cell r="AL22" t="str">
            <v>Pd 210/198</v>
          </cell>
          <cell r="AM22">
            <v>1.0046666666666666</v>
          </cell>
          <cell r="AN22" t="str">
            <v>Ult/198Pd</v>
          </cell>
          <cell r="AO22">
            <v>1.0472373560059267</v>
          </cell>
          <cell r="AP22">
            <v>1.0472373560059267</v>
          </cell>
        </row>
        <row r="23">
          <cell r="AJ23">
            <v>2000</v>
          </cell>
          <cell r="AK23">
            <v>0</v>
          </cell>
          <cell r="AL23" t="str">
            <v>Pd 222/210</v>
          </cell>
          <cell r="AM23">
            <v>1.0043333333333333</v>
          </cell>
          <cell r="AN23" t="str">
            <v>Ult/210Pd</v>
          </cell>
          <cell r="AO23">
            <v>1.0423729489110087</v>
          </cell>
          <cell r="AP23">
            <v>1.0423729489110087</v>
          </cell>
        </row>
        <row r="24">
          <cell r="AJ24">
            <v>1999</v>
          </cell>
          <cell r="AK24">
            <v>0</v>
          </cell>
          <cell r="AL24" t="str">
            <v>Pd 234/222</v>
          </cell>
          <cell r="AM24">
            <v>1.0036666666666665</v>
          </cell>
          <cell r="AN24" t="str">
            <v>Ult/222Pd</v>
          </cell>
          <cell r="AO24">
            <v>1.0378754884610111</v>
          </cell>
          <cell r="AP24">
            <v>1.0378754884610111</v>
          </cell>
        </row>
        <row r="25">
          <cell r="AJ25">
            <v>1998</v>
          </cell>
          <cell r="AK25">
            <v>0</v>
          </cell>
          <cell r="AL25" t="str">
            <v>Inc 246/234</v>
          </cell>
          <cell r="AM25">
            <v>1.0006666666666666</v>
          </cell>
          <cell r="AN25" t="str">
            <v>Ult/234Inc</v>
          </cell>
          <cell r="AO25">
            <v>1.0095188880763055</v>
          </cell>
          <cell r="AP25">
            <v>1.0095188880763055</v>
          </cell>
        </row>
        <row r="26">
          <cell r="AJ26">
            <v>1997</v>
          </cell>
          <cell r="AK26">
            <v>0</v>
          </cell>
          <cell r="AL26" t="str">
            <v>Inc 258/246</v>
          </cell>
          <cell r="AM26">
            <v>1.0006666666666666</v>
          </cell>
          <cell r="AN26" t="str">
            <v>Ult/246Inc</v>
          </cell>
          <cell r="AO26">
            <v>1.0088463238603986</v>
          </cell>
          <cell r="AP26">
            <v>1.0088463238603986</v>
          </cell>
        </row>
        <row r="27">
          <cell r="AJ27">
            <v>1996</v>
          </cell>
          <cell r="AK27">
            <v>0</v>
          </cell>
          <cell r="AL27" t="str">
            <v>Inc 270/258</v>
          </cell>
          <cell r="AM27">
            <v>1.0004999999999999</v>
          </cell>
          <cell r="AN27" t="str">
            <v>Ult/258Inc</v>
          </cell>
          <cell r="AO27">
            <v>1.0081742077219173</v>
          </cell>
          <cell r="AP27">
            <v>1.0081742077219173</v>
          </cell>
        </row>
        <row r="28">
          <cell r="AJ28">
            <v>1995</v>
          </cell>
          <cell r="AK28">
            <v>0</v>
          </cell>
          <cell r="AL28" t="str">
            <v>Inc 282/270</v>
          </cell>
          <cell r="AM28">
            <v>1</v>
          </cell>
          <cell r="AN28" t="str">
            <v>Ult/270Inc</v>
          </cell>
          <cell r="AO28">
            <v>1.0076703725356495</v>
          </cell>
          <cell r="AP28">
            <v>1.0076703725356495</v>
          </cell>
        </row>
        <row r="29">
          <cell r="AJ29">
            <v>1994</v>
          </cell>
          <cell r="AK29">
            <v>0</v>
          </cell>
          <cell r="AL29" t="str">
            <v>Inc 294/282</v>
          </cell>
          <cell r="AM29">
            <v>1.0006666666666666</v>
          </cell>
          <cell r="AN29" t="str">
            <v>Ult/282Inc</v>
          </cell>
          <cell r="AO29">
            <v>1.0076703725356495</v>
          </cell>
          <cell r="AP29">
            <v>1.0076703725356495</v>
          </cell>
        </row>
        <row r="30">
          <cell r="AJ30">
            <v>1993</v>
          </cell>
          <cell r="AK30">
            <v>0</v>
          </cell>
          <cell r="AL30" t="str">
            <v>Inc 306/294</v>
          </cell>
          <cell r="AM30">
            <v>1.0003333333333333</v>
          </cell>
          <cell r="AN30" t="str">
            <v>Ult/294Inc</v>
          </cell>
          <cell r="AO30">
            <v>1.0069990398424213</v>
          </cell>
          <cell r="AP30">
            <v>1.0069990398424213</v>
          </cell>
        </row>
        <row r="31">
          <cell r="AJ31">
            <v>1992</v>
          </cell>
          <cell r="AK31">
            <v>0</v>
          </cell>
          <cell r="AL31" t="str">
            <v>Inc 318/306</v>
          </cell>
          <cell r="AM31">
            <v>1.0004999999999999</v>
          </cell>
          <cell r="AN31" t="str">
            <v>Ult/306Inc</v>
          </cell>
          <cell r="AO31">
            <v>1.0066634853473055</v>
          </cell>
          <cell r="AP31">
            <v>1.0066634853473055</v>
          </cell>
        </row>
        <row r="32">
          <cell r="AJ32">
            <v>1991</v>
          </cell>
          <cell r="AK32">
            <v>0</v>
          </cell>
          <cell r="AL32" t="str">
            <v>Inc 330/318</v>
          </cell>
          <cell r="AM32">
            <v>1.0006666666666666</v>
          </cell>
          <cell r="AN32" t="str">
            <v>Ult/318Inc</v>
          </cell>
          <cell r="AO32">
            <v>1.0061604051447333</v>
          </cell>
          <cell r="AP32">
            <v>1.0061604051447333</v>
          </cell>
        </row>
        <row r="33">
          <cell r="AJ33">
            <v>1990</v>
          </cell>
          <cell r="AK33">
            <v>0</v>
          </cell>
          <cell r="AL33" t="str">
            <v>Inc 342/330</v>
          </cell>
          <cell r="AM33">
            <v>1.0003333333333333</v>
          </cell>
          <cell r="AN33" t="str">
            <v>Ult/330Inc</v>
          </cell>
          <cell r="AO33">
            <v>1.0054900784257828</v>
          </cell>
          <cell r="AP33">
            <v>1.0054900784257828</v>
          </cell>
        </row>
        <row r="34">
          <cell r="AJ34">
            <v>1989</v>
          </cell>
          <cell r="AK34">
            <v>0</v>
          </cell>
          <cell r="AL34" t="str">
            <v>Inc 354/342</v>
          </cell>
          <cell r="AM34">
            <v>1.0004999999999999</v>
          </cell>
          <cell r="AN34" t="str">
            <v>Ult/342Inc</v>
          </cell>
          <cell r="AO34">
            <v>1.0051550267501994</v>
          </cell>
          <cell r="AP34">
            <v>1.0051550267501994</v>
          </cell>
        </row>
        <row r="35">
          <cell r="AJ35">
            <v>1988</v>
          </cell>
          <cell r="AK35">
            <v>0</v>
          </cell>
          <cell r="AL35" t="str">
            <v>Inc 366/354</v>
          </cell>
          <cell r="AM35">
            <v>1.0003999999999997</v>
          </cell>
          <cell r="AN35" t="str">
            <v>Ult/354Inc</v>
          </cell>
          <cell r="AO35">
            <v>1.0046527003999994</v>
          </cell>
          <cell r="AP35">
            <v>1.0046527003999994</v>
          </cell>
        </row>
        <row r="36">
          <cell r="AJ36">
            <v>1987</v>
          </cell>
          <cell r="AK36">
            <v>0</v>
          </cell>
          <cell r="AL36" t="str">
            <v>Inc 378/366</v>
          </cell>
          <cell r="AM36">
            <v>1.0002499999999999</v>
          </cell>
          <cell r="AN36" t="str">
            <v>Ult/366Inc</v>
          </cell>
          <cell r="AO36">
            <v>1.0042509999999998</v>
          </cell>
          <cell r="AP36">
            <v>1.0042509999999998</v>
          </cell>
        </row>
        <row r="37">
          <cell r="AJ37">
            <v>1986</v>
          </cell>
          <cell r="AK37">
            <v>0</v>
          </cell>
          <cell r="AL37" t="str">
            <v>Inc 390/378</v>
          </cell>
          <cell r="AM37">
            <v>1</v>
          </cell>
          <cell r="AN37" t="str">
            <v>Ult/378Inc</v>
          </cell>
          <cell r="AO37">
            <v>1.004</v>
          </cell>
          <cell r="AP37">
            <v>1.004</v>
          </cell>
        </row>
      </sheetData>
      <sheetData sheetId="8"/>
      <sheetData sheetId="9"/>
      <sheetData sheetId="10"/>
      <sheetData sheetId="11">
        <row r="6">
          <cell r="J6">
            <v>2016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M2">
            <v>2000</v>
          </cell>
          <cell r="BN2">
            <v>2001</v>
          </cell>
          <cell r="BO2">
            <v>2002</v>
          </cell>
          <cell r="BP2">
            <v>2003</v>
          </cell>
          <cell r="BQ2">
            <v>2004</v>
          </cell>
          <cell r="BR2">
            <v>2005</v>
          </cell>
          <cell r="BS2">
            <v>2006</v>
          </cell>
          <cell r="BT2">
            <v>2007</v>
          </cell>
          <cell r="BU2">
            <v>2008</v>
          </cell>
          <cell r="BV2">
            <v>2009</v>
          </cell>
          <cell r="BW2">
            <v>2010</v>
          </cell>
          <cell r="BX2">
            <v>2011</v>
          </cell>
          <cell r="BY2">
            <v>2012</v>
          </cell>
          <cell r="BZ2">
            <v>2013</v>
          </cell>
          <cell r="CA2">
            <v>2014</v>
          </cell>
          <cell r="CB2">
            <v>2015</v>
          </cell>
          <cell r="CC2">
            <v>2016</v>
          </cell>
          <cell r="CD2">
            <v>2017</v>
          </cell>
          <cell r="CE2">
            <v>2018</v>
          </cell>
          <cell r="CF2">
            <v>2019</v>
          </cell>
          <cell r="CG2">
            <v>2020</v>
          </cell>
          <cell r="CH2">
            <v>0</v>
          </cell>
          <cell r="CI2">
            <v>0</v>
          </cell>
        </row>
        <row r="3">
          <cell r="BM3">
            <v>3.3768572714992904</v>
          </cell>
          <cell r="BN3">
            <v>2.8261711188540506</v>
          </cell>
          <cell r="BO3">
            <v>1.5860316265060423</v>
          </cell>
          <cell r="BP3">
            <v>2.2700949733611355</v>
          </cell>
          <cell r="BQ3">
            <v>2.6772366930917388</v>
          </cell>
          <cell r="BR3">
            <v>3.3927468454954695</v>
          </cell>
          <cell r="BS3">
            <v>3.2259441007040652</v>
          </cell>
          <cell r="BT3">
            <v>2.8526724815013895</v>
          </cell>
          <cell r="BU3">
            <v>3.8391002966509746</v>
          </cell>
          <cell r="BV3">
            <v>-0.3555462662997424</v>
          </cell>
          <cell r="BW3">
            <v>1.6400434423898986</v>
          </cell>
          <cell r="BX3">
            <v>3.1568415686220437</v>
          </cell>
          <cell r="BY3">
            <v>2.0693372652606232</v>
          </cell>
          <cell r="BZ3">
            <v>1.4648326556271045</v>
          </cell>
          <cell r="CA3">
            <v>1.6222229774082195</v>
          </cell>
          <cell r="CB3">
            <v>0.11862713555245909</v>
          </cell>
          <cell r="CC3">
            <v>1.2615832057053273</v>
          </cell>
          <cell r="CD3">
            <v>2.316352783499656</v>
          </cell>
          <cell r="CE3">
            <v>2.3055768166938981</v>
          </cell>
          <cell r="CF3">
            <v>2.2513818666130763</v>
          </cell>
          <cell r="CG3">
            <v>2.1661014437844774</v>
          </cell>
          <cell r="CH3">
            <v>0</v>
          </cell>
          <cell r="CI3">
            <v>0</v>
          </cell>
        </row>
        <row r="4">
          <cell r="BM4">
            <v>2.4343158489499812</v>
          </cell>
          <cell r="BN4">
            <v>2.6706504251896126</v>
          </cell>
          <cell r="BO4">
            <v>2.3191260744985809</v>
          </cell>
          <cell r="BP4">
            <v>1.4570753478603187</v>
          </cell>
          <cell r="BQ4">
            <v>1.7596066761547446</v>
          </cell>
          <cell r="BR4">
            <v>2.1699512608603437</v>
          </cell>
          <cell r="BS4">
            <v>2.501348156137253</v>
          </cell>
          <cell r="BT4">
            <v>2.337070012140797</v>
          </cell>
          <cell r="BU4">
            <v>2.2979346704635573</v>
          </cell>
          <cell r="BV4">
            <v>1.6994361499548867</v>
          </cell>
          <cell r="BW4">
            <v>0.9585604488334506</v>
          </cell>
          <cell r="BX4">
            <v>1.6585606079431054</v>
          </cell>
          <cell r="BY4">
            <v>2.1100037406160186</v>
          </cell>
          <cell r="BZ4">
            <v>1.7630724299997582</v>
          </cell>
          <cell r="CA4">
            <v>1.749670577911691</v>
          </cell>
          <cell r="CB4">
            <v>1.8284192617175308</v>
          </cell>
          <cell r="CC4">
            <v>2.2109022558977531</v>
          </cell>
          <cell r="CD4">
            <v>2.1395163888984792</v>
          </cell>
          <cell r="CE4">
            <v>2.5102383207959185</v>
          </cell>
          <cell r="CF4">
            <v>1.9490737702990657</v>
          </cell>
          <cell r="CG4">
            <v>1.8765568380980511</v>
          </cell>
          <cell r="CH4">
            <v>0</v>
          </cell>
          <cell r="CI4">
            <v>0</v>
          </cell>
        </row>
        <row r="5">
          <cell r="BM5">
            <v>2.2648791387365441</v>
          </cell>
          <cell r="BN5">
            <v>3.1383454166252935</v>
          </cell>
          <cell r="BO5">
            <v>1.8103033220991771</v>
          </cell>
          <cell r="BP5">
            <v>2.1327910715974769</v>
          </cell>
          <cell r="BQ5">
            <v>3.4449229059591699</v>
          </cell>
          <cell r="BR5">
            <v>2.4439371559016956</v>
          </cell>
          <cell r="BS5">
            <v>2.3332022545549664</v>
          </cell>
          <cell r="BT5">
            <v>3.9661414969472117</v>
          </cell>
          <cell r="BU5">
            <v>5.5148458454260867</v>
          </cell>
          <cell r="BV5">
            <v>1.7975484932142689</v>
          </cell>
          <cell r="BW5">
            <v>0.76621291619335352</v>
          </cell>
          <cell r="BX5">
            <v>3.7411103239953141</v>
          </cell>
          <cell r="BY5">
            <v>2.6052467760848375</v>
          </cell>
          <cell r="BZ5">
            <v>1.3943111108576336</v>
          </cell>
          <cell r="CA5">
            <v>2.3994504372209202</v>
          </cell>
          <cell r="CB5">
            <v>1.8582109895512431</v>
          </cell>
          <cell r="CC5">
            <v>0.28168226025325155</v>
          </cell>
          <cell r="CD5">
            <v>1.0810971496073039</v>
          </cell>
          <cell r="CE5">
            <v>2.1138819387738486</v>
          </cell>
          <cell r="CF5">
            <v>2.7252223238086284</v>
          </cell>
          <cell r="CG5">
            <v>2.6172036040460465</v>
          </cell>
          <cell r="CH5">
            <v>0</v>
          </cell>
          <cell r="CI5">
            <v>0</v>
          </cell>
        </row>
        <row r="6">
          <cell r="BM6">
            <v>2.2380106571936129</v>
          </cell>
          <cell r="BN6">
            <v>3.2661570535093909</v>
          </cell>
          <cell r="BO6">
            <v>1.2978273408959815</v>
          </cell>
          <cell r="BP6">
            <v>2.1495681882888902</v>
          </cell>
          <cell r="BQ6">
            <v>3.785943234078113</v>
          </cell>
          <cell r="BR6">
            <v>1.9291021394682675</v>
          </cell>
          <cell r="BS6">
            <v>1.7608571554033299</v>
          </cell>
          <cell r="BT6">
            <v>4.209027358246324</v>
          </cell>
          <cell r="BU6">
            <v>6.4002418279543321</v>
          </cell>
          <cell r="BV6">
            <v>0.46623820491284595</v>
          </cell>
          <cell r="BW6">
            <v>0.33097267383619988</v>
          </cell>
          <cell r="BX6">
            <v>4.8022683942168953</v>
          </cell>
          <cell r="BY6">
            <v>2.4637434488429419</v>
          </cell>
          <cell r="BZ6">
            <v>0.90407948564726559</v>
          </cell>
          <cell r="CA6">
            <v>2.3889807217504577</v>
          </cell>
          <cell r="CB6">
            <v>1.1668114392623326</v>
          </cell>
          <cell r="CC6">
            <v>-1.3147230822153479</v>
          </cell>
          <cell r="CD6">
            <v>0.10194225352162843</v>
          </cell>
          <cell r="CE6">
            <v>1.7302784007621783</v>
          </cell>
          <cell r="CF6">
            <v>2.6818361371318091</v>
          </cell>
          <cell r="CG6">
            <v>2.5242112569051631</v>
          </cell>
          <cell r="CH6">
            <v>0</v>
          </cell>
          <cell r="CI6">
            <v>0</v>
          </cell>
        </row>
        <row r="7">
          <cell r="BM7">
            <v>2.3521098324247887</v>
          </cell>
          <cell r="BN7">
            <v>2.8799684387020461</v>
          </cell>
          <cell r="BO7">
            <v>2.5548844789569531</v>
          </cell>
          <cell r="BP7">
            <v>2.1360130871699017</v>
          </cell>
          <cell r="BQ7">
            <v>2.9699798645433062</v>
          </cell>
          <cell r="BR7">
            <v>3.1509710679525189</v>
          </cell>
          <cell r="BS7">
            <v>3.0848772080999582</v>
          </cell>
          <cell r="BT7">
            <v>3.6490846777564299</v>
          </cell>
          <cell r="BU7">
            <v>4.4083490193991102</v>
          </cell>
          <cell r="BV7">
            <v>3.4771714072633797</v>
          </cell>
          <cell r="BW7">
            <v>1.2727007389718927</v>
          </cell>
          <cell r="BX7">
            <v>2.3385010920031668</v>
          </cell>
          <cell r="BY7">
            <v>2.845851396600573</v>
          </cell>
          <cell r="BZ7">
            <v>2.1354152441419973</v>
          </cell>
          <cell r="CA7">
            <v>2.4324761675549791</v>
          </cell>
          <cell r="CB7">
            <v>2.8594876518396717</v>
          </cell>
          <cell r="CC7">
            <v>2.5750290901233992</v>
          </cell>
          <cell r="CD7">
            <v>2.442014577089298</v>
          </cell>
          <cell r="CE7">
            <v>2.6347427993227464</v>
          </cell>
          <cell r="CF7">
            <v>2.7836213700958194</v>
          </cell>
          <cell r="CG7">
            <v>2.74225000445449</v>
          </cell>
          <cell r="CH7">
            <v>0</v>
          </cell>
          <cell r="CI7">
            <v>0</v>
          </cell>
        </row>
        <row r="8">
          <cell r="BM8">
            <v>2.9118585808985982</v>
          </cell>
          <cell r="BN8">
            <v>2.6529248974138708</v>
          </cell>
          <cell r="BO8">
            <v>2.4077344984661133</v>
          </cell>
          <cell r="BP8">
            <v>1.9471677559912792</v>
          </cell>
          <cell r="BQ8">
            <v>2.6490361070299837</v>
          </cell>
          <cell r="BR8">
            <v>1.9734559333795774</v>
          </cell>
          <cell r="BS8">
            <v>2.4456637318701984</v>
          </cell>
          <cell r="BT8">
            <v>3.1432367350328123</v>
          </cell>
          <cell r="BU8">
            <v>3.6024921225548456</v>
          </cell>
          <cell r="BV8">
            <v>2.9221716485902904</v>
          </cell>
          <cell r="BW8">
            <v>1.1503139278887204</v>
          </cell>
          <cell r="BX8">
            <v>1.5199918790455387</v>
          </cell>
          <cell r="BY8">
            <v>1.8152602587441551</v>
          </cell>
          <cell r="BZ8">
            <v>1.6567404259467617</v>
          </cell>
          <cell r="CA8">
            <v>1.1427891514057895</v>
          </cell>
          <cell r="CB8">
            <v>0.93778916336425122</v>
          </cell>
          <cell r="CC8">
            <v>1.2507132022432599</v>
          </cell>
          <cell r="CD8">
            <v>1.642886840233533</v>
          </cell>
          <cell r="CE8">
            <v>2.0751840922374196</v>
          </cell>
          <cell r="CF8">
            <v>2.05637034570114</v>
          </cell>
          <cell r="CG8">
            <v>2.0419607088118736</v>
          </cell>
          <cell r="CH8">
            <v>0</v>
          </cell>
          <cell r="CI8">
            <v>0</v>
          </cell>
        </row>
        <row r="9">
          <cell r="BM9">
            <v>3.2530817498108684</v>
          </cell>
          <cell r="BN9">
            <v>3.7281268856132996</v>
          </cell>
          <cell r="BO9">
            <v>3.7561806623176821</v>
          </cell>
          <cell r="BP9">
            <v>2.4148011693564708</v>
          </cell>
          <cell r="BQ9">
            <v>2.6863220458278181</v>
          </cell>
          <cell r="BR9">
            <v>2.5513118312326046</v>
          </cell>
          <cell r="BS9">
            <v>3.4347035015409921</v>
          </cell>
          <cell r="BT9">
            <v>3.6518882825961954</v>
          </cell>
          <cell r="BU9">
            <v>2.5168607504449882</v>
          </cell>
          <cell r="BV9">
            <v>1.0896632665505777</v>
          </cell>
          <cell r="BW9">
            <v>-0.38422578854512884</v>
          </cell>
          <cell r="BX9">
            <v>1.3082260394517515</v>
          </cell>
          <cell r="BY9">
            <v>2.1608749601374018</v>
          </cell>
          <cell r="BZ9">
            <v>2.3230779104843493</v>
          </cell>
          <cell r="CA9">
            <v>2.8348553491037718</v>
          </cell>
          <cell r="CB9">
            <v>3.0644245070168967</v>
          </cell>
          <cell r="CC9">
            <v>3.3813641189467463</v>
          </cell>
          <cell r="CD9">
            <v>3.6631110038952759</v>
          </cell>
          <cell r="CE9">
            <v>4.0577918396585284</v>
          </cell>
          <cell r="CF9">
            <v>4.0180423014091895</v>
          </cell>
          <cell r="CG9">
            <v>3.8673687930873375</v>
          </cell>
          <cell r="CH9">
            <v>0</v>
          </cell>
          <cell r="CI9">
            <v>0</v>
          </cell>
        </row>
        <row r="10">
          <cell r="BM10">
            <v>3.6294487745328015</v>
          </cell>
          <cell r="BN10">
            <v>4.4538081645598435</v>
          </cell>
          <cell r="BO10">
            <v>3.9299037043463083</v>
          </cell>
          <cell r="BP10">
            <v>2.929883138564271</v>
          </cell>
          <cell r="BQ10">
            <v>2.6802368015570619</v>
          </cell>
          <cell r="BR10">
            <v>2.9933262251707915</v>
          </cell>
          <cell r="BS10">
            <v>3.5658141942410184</v>
          </cell>
          <cell r="BT10">
            <v>4.2592647439931808</v>
          </cell>
          <cell r="BU10">
            <v>3.6612790454475594</v>
          </cell>
          <cell r="BV10">
            <v>2.2774654072581408</v>
          </cell>
          <cell r="BW10">
            <v>0.23062966990751976</v>
          </cell>
          <cell r="BX10">
            <v>1.7052921766008187</v>
          </cell>
          <cell r="BY10">
            <v>2.6528604724972396</v>
          </cell>
          <cell r="BZ10">
            <v>2.82591676743262</v>
          </cell>
          <cell r="CA10">
            <v>3.151497418833729</v>
          </cell>
          <cell r="CB10">
            <v>3.5739902587340833</v>
          </cell>
          <cell r="CC10">
            <v>3.7717818786539841</v>
          </cell>
          <cell r="CD10">
            <v>3.9373442696130843</v>
          </cell>
          <cell r="CE10">
            <v>4.1982453627306375</v>
          </cell>
          <cell r="CF10">
            <v>4.1398546803432703</v>
          </cell>
          <cell r="CG10">
            <v>3.922742207013509</v>
          </cell>
          <cell r="CH10">
            <v>0</v>
          </cell>
          <cell r="CI10">
            <v>0</v>
          </cell>
        </row>
        <row r="11">
          <cell r="BM11">
            <v>2.9717938749946087</v>
          </cell>
          <cell r="BN11">
            <v>3.8382482486681342</v>
          </cell>
          <cell r="BO11">
            <v>4.0801486628424062</v>
          </cell>
          <cell r="BP11">
            <v>2.4336283185840282</v>
          </cell>
          <cell r="BQ11">
            <v>2.2735023303399022</v>
          </cell>
          <cell r="BR11">
            <v>2.3229965544070348</v>
          </cell>
          <cell r="BS11">
            <v>3.4868563980013181</v>
          </cell>
          <cell r="BT11">
            <v>3.384066337776833</v>
          </cell>
          <cell r="BU11">
            <v>2.5144340433596524</v>
          </cell>
          <cell r="BV11">
            <v>1.6572816434624542</v>
          </cell>
          <cell r="BW11">
            <v>-1.0262012562530348E-2</v>
          </cell>
          <cell r="BX11">
            <v>1.1638511439745673</v>
          </cell>
          <cell r="BY11">
            <v>2.0297370295781039</v>
          </cell>
          <cell r="BZ11">
            <v>2.2076675707821702</v>
          </cell>
          <cell r="CA11">
            <v>2.6403068017847429</v>
          </cell>
          <cell r="CB11">
            <v>2.9131213587107676</v>
          </cell>
          <cell r="CC11">
            <v>3.3013543442393551</v>
          </cell>
          <cell r="CD11">
            <v>3.7806612157838724</v>
          </cell>
          <cell r="CE11">
            <v>4.1732164232035434</v>
          </cell>
          <cell r="CF11">
            <v>4.1017484906525921</v>
          </cell>
          <cell r="CG11">
            <v>3.9463034695222223</v>
          </cell>
          <cell r="CH11">
            <v>0</v>
          </cell>
          <cell r="CI11">
            <v>0</v>
          </cell>
        </row>
        <row r="12">
          <cell r="BM12">
            <v>7.0587474120082847</v>
          </cell>
          <cell r="BN12">
            <v>8.9019157551217791</v>
          </cell>
          <cell r="BO12">
            <v>-4.400665926748049</v>
          </cell>
          <cell r="BP12">
            <v>7.6507807511464465</v>
          </cell>
          <cell r="BQ12">
            <v>4.7559989215422096</v>
          </cell>
          <cell r="BR12">
            <v>10.593503886343733</v>
          </cell>
          <cell r="BS12">
            <v>8.7456364905748032</v>
          </cell>
          <cell r="BT12">
            <v>3.046952576613617</v>
          </cell>
          <cell r="BU12">
            <v>9.662155791540842</v>
          </cell>
          <cell r="BV12">
            <v>-4.2367399006292938</v>
          </cell>
          <cell r="BW12">
            <v>1.6565711697922401</v>
          </cell>
          <cell r="BX12">
            <v>2.885529322370386</v>
          </cell>
          <cell r="BY12">
            <v>-0.62649277493150324</v>
          </cell>
          <cell r="BZ12">
            <v>2.8408535232588594</v>
          </cell>
          <cell r="CA12">
            <v>4.16560283294295</v>
          </cell>
          <cell r="CB12">
            <v>-1.9010218236523884</v>
          </cell>
          <cell r="CC12">
            <v>-0.55349350908002404</v>
          </cell>
          <cell r="CD12">
            <v>2.8291042561442543</v>
          </cell>
          <cell r="CE12">
            <v>2.035036123213775</v>
          </cell>
          <cell r="CF12">
            <v>1.2536664542373173</v>
          </cell>
          <cell r="CG12">
            <v>0.7942755292297019</v>
          </cell>
          <cell r="CH12">
            <v>0</v>
          </cell>
          <cell r="CI12">
            <v>0</v>
          </cell>
        </row>
        <row r="13">
          <cell r="BM13">
            <v>1.1835097639555525</v>
          </cell>
          <cell r="BN13">
            <v>0.64981480278121473</v>
          </cell>
          <cell r="BO13">
            <v>-0.56814513525729105</v>
          </cell>
          <cell r="BP13">
            <v>-1.7336536588533167</v>
          </cell>
          <cell r="BQ13">
            <v>-0.50878815911195518</v>
          </cell>
          <cell r="BR13">
            <v>0.49146576343229675</v>
          </cell>
          <cell r="BS13">
            <v>0.74020223382462413</v>
          </cell>
          <cell r="BT13">
            <v>-0.11848061405236943</v>
          </cell>
          <cell r="BU13">
            <v>0.72978941132118302</v>
          </cell>
          <cell r="BV13">
            <v>0.70500552619481238</v>
          </cell>
          <cell r="BW13">
            <v>-2.4956342749399933</v>
          </cell>
          <cell r="BX13">
            <v>-0.43582663622587953</v>
          </cell>
          <cell r="BY13">
            <v>0.64542980075514433</v>
          </cell>
          <cell r="BZ13">
            <v>-0.78290881040803262</v>
          </cell>
          <cell r="CA13">
            <v>-1.296242120154381</v>
          </cell>
          <cell r="CB13">
            <v>-0.44086787700633551</v>
          </cell>
          <cell r="CC13">
            <v>-0.80706772191300824</v>
          </cell>
          <cell r="CD13">
            <v>-0.10601776921400979</v>
          </cell>
          <cell r="CE13">
            <v>0.23898521008060028</v>
          </cell>
          <cell r="CF13">
            <v>0.1279258924908121</v>
          </cell>
          <cell r="CG13">
            <v>0.15300192552652497</v>
          </cell>
          <cell r="CH13">
            <v>0</v>
          </cell>
          <cell r="CI13">
            <v>0</v>
          </cell>
        </row>
        <row r="14">
          <cell r="BM14">
            <v>-1.3075214217708679</v>
          </cell>
          <cell r="BN14">
            <v>-1.7814650459836565</v>
          </cell>
          <cell r="BO14">
            <v>-2.5471451021477276</v>
          </cell>
          <cell r="BP14">
            <v>-2.5398105220721678</v>
          </cell>
          <cell r="BQ14">
            <v>-0.3653912443984802</v>
          </cell>
          <cell r="BR14">
            <v>-0.74038195405481322</v>
          </cell>
          <cell r="BS14">
            <v>-7.6681770651784761E-2</v>
          </cell>
          <cell r="BT14">
            <v>-0.37819171201338631</v>
          </cell>
          <cell r="BU14">
            <v>-7.6751828983495626E-2</v>
          </cell>
          <cell r="BV14">
            <v>0.9850141882691279</v>
          </cell>
          <cell r="BW14">
            <v>-0.47892414524427124</v>
          </cell>
          <cell r="BX14">
            <v>2.182021802784718</v>
          </cell>
          <cell r="BY14">
            <v>3.401763973663241</v>
          </cell>
          <cell r="BZ14">
            <v>0.9082119227151958</v>
          </cell>
          <cell r="CA14">
            <v>8.0775127278048267E-2</v>
          </cell>
          <cell r="CB14">
            <v>-1.2639763791105818</v>
          </cell>
          <cell r="CC14">
            <v>0.11344757517391849</v>
          </cell>
          <cell r="CD14">
            <v>0.21024842913661326</v>
          </cell>
          <cell r="CE14">
            <v>0.39046024273151703</v>
          </cell>
          <cell r="CF14">
            <v>0.85349882469102933</v>
          </cell>
          <cell r="CG14">
            <v>1.0062037119575558</v>
          </cell>
          <cell r="CH14">
            <v>0</v>
          </cell>
          <cell r="CI14">
            <v>0</v>
          </cell>
        </row>
        <row r="15">
          <cell r="BM15">
            <v>6.1865189289012035</v>
          </cell>
          <cell r="BN15">
            <v>0.59782608695651551</v>
          </cell>
          <cell r="BO15">
            <v>-0.90221501890868816</v>
          </cell>
          <cell r="BP15">
            <v>3.0747424085482122</v>
          </cell>
          <cell r="BQ15">
            <v>3.5172158459829816</v>
          </cell>
          <cell r="BR15">
            <v>6.6268138156550016</v>
          </cell>
          <cell r="BS15">
            <v>3.9963582347021998</v>
          </cell>
          <cell r="BT15">
            <v>2.113947380546469</v>
          </cell>
          <cell r="BU15">
            <v>5.8845878424080365</v>
          </cell>
          <cell r="BV15">
            <v>-8.3339157382280238</v>
          </cell>
          <cell r="BW15">
            <v>7.8902701916152607</v>
          </cell>
          <cell r="BX15">
            <v>9.8089368484598225</v>
          </cell>
          <cell r="BY15">
            <v>2.3409663819380886</v>
          </cell>
          <cell r="BZ15">
            <v>3.4125125716600986E-2</v>
          </cell>
          <cell r="CA15">
            <v>-0.67721016091216502</v>
          </cell>
          <cell r="CB15">
            <v>-7.8136173329613454</v>
          </cell>
          <cell r="CC15">
            <v>-2.0962835299244245</v>
          </cell>
          <cell r="CD15">
            <v>3.6554285443666372</v>
          </cell>
          <cell r="CE15">
            <v>1.4224862991840848</v>
          </cell>
          <cell r="CF15">
            <v>3.7736216260794064</v>
          </cell>
          <cell r="CG15">
            <v>3.9992877460519987</v>
          </cell>
          <cell r="CH15">
            <v>0</v>
          </cell>
          <cell r="CI15">
            <v>0</v>
          </cell>
        </row>
        <row r="16">
          <cell r="BM16">
            <v>-7.5832701394145774E-2</v>
          </cell>
          <cell r="BN16">
            <v>-0.4495037945125604</v>
          </cell>
          <cell r="BO16">
            <v>-1.4836099220078487</v>
          </cell>
          <cell r="BP16">
            <v>-1.5357142857142898</v>
          </cell>
          <cell r="BQ16">
            <v>-0.57429573207590046</v>
          </cell>
          <cell r="BR16">
            <v>0.62017389189515337</v>
          </cell>
          <cell r="BS16">
            <v>-0.23566378633151278</v>
          </cell>
          <cell r="BT16">
            <v>-0.96589945487582618</v>
          </cell>
          <cell r="BU16">
            <v>-1.5124280375009138</v>
          </cell>
          <cell r="BV16">
            <v>1.0654377628352936</v>
          </cell>
          <cell r="BW16">
            <v>1.756395312756335</v>
          </cell>
          <cell r="BX16">
            <v>2.809972549403243</v>
          </cell>
          <cell r="BY16">
            <v>1.6553496679491988</v>
          </cell>
          <cell r="BZ16">
            <v>1.0755235341189382</v>
          </cell>
          <cell r="CA16">
            <v>0.33714416371327449</v>
          </cell>
          <cell r="CB16">
            <v>0.58804829721220475</v>
          </cell>
          <cell r="CC16">
            <v>0.15122166717638097</v>
          </cell>
          <cell r="CD16">
            <v>1.0559467055743299</v>
          </cell>
          <cell r="CE16">
            <v>0.92074695256564398</v>
          </cell>
          <cell r="CF16">
            <v>0.88137199212426076</v>
          </cell>
          <cell r="CG16">
            <v>0.91867775834183818</v>
          </cell>
          <cell r="CH16">
            <v>0</v>
          </cell>
          <cell r="CI16">
            <v>0</v>
          </cell>
        </row>
        <row r="17">
          <cell r="BM17">
            <v>28.39547270306262</v>
          </cell>
          <cell r="BN17">
            <v>-3.5779102929738418</v>
          </cell>
          <cell r="BO17">
            <v>-6.4197364883033154</v>
          </cell>
          <cell r="BP17">
            <v>16.478701242726839</v>
          </cell>
          <cell r="BQ17">
            <v>18.162195497995697</v>
          </cell>
          <cell r="BR17">
            <v>21.931106471816253</v>
          </cell>
          <cell r="BS17">
            <v>12.974060440030815</v>
          </cell>
          <cell r="BT17">
            <v>8.1919448338574821</v>
          </cell>
          <cell r="BU17">
            <v>16.598436006177518</v>
          </cell>
          <cell r="BV17">
            <v>-27.356133690546276</v>
          </cell>
          <cell r="BW17">
            <v>18.376681662554901</v>
          </cell>
          <cell r="BX17">
            <v>26.446169283788091</v>
          </cell>
          <cell r="BY17">
            <v>3.2404576167534094</v>
          </cell>
          <cell r="BZ17">
            <v>-2.855146179257094</v>
          </cell>
          <cell r="CA17">
            <v>-3.8627378941216746</v>
          </cell>
          <cell r="CB17">
            <v>-27.117523890119621</v>
          </cell>
          <cell r="CC17">
            <v>-11.511521230021323</v>
          </cell>
          <cell r="CD17">
            <v>11.867838059579192</v>
          </cell>
          <cell r="CE17">
            <v>-1.4225491677336559</v>
          </cell>
          <cell r="CF17">
            <v>9.3817489309763786</v>
          </cell>
          <cell r="CG17">
            <v>9.6546371678645659</v>
          </cell>
          <cell r="CH17">
            <v>0</v>
          </cell>
          <cell r="CI17">
            <v>0</v>
          </cell>
        </row>
        <row r="18">
          <cell r="BM18">
            <v>4.057199866977049</v>
          </cell>
          <cell r="BN18">
            <v>4.6053052093320526</v>
          </cell>
          <cell r="BO18">
            <v>4.7080749136903961</v>
          </cell>
          <cell r="BP18">
            <v>4.0178571428571308</v>
          </cell>
          <cell r="BQ18">
            <v>4.3956352211843459</v>
          </cell>
          <cell r="BR18">
            <v>4.2213026655201791</v>
          </cell>
          <cell r="BS18">
            <v>4.0090752056101397</v>
          </cell>
          <cell r="BT18">
            <v>4.423256159833441</v>
          </cell>
          <cell r="BU18">
            <v>3.7063430250320168</v>
          </cell>
          <cell r="BV18">
            <v>3.1720769514953373</v>
          </cell>
          <cell r="BW18">
            <v>3.4137285270598832</v>
          </cell>
          <cell r="BX18">
            <v>3.0434469199961818</v>
          </cell>
          <cell r="BY18">
            <v>3.6642453087491944</v>
          </cell>
          <cell r="BZ18">
            <v>2.4608326787621451</v>
          </cell>
          <cell r="CA18">
            <v>2.3893026795049623</v>
          </cell>
          <cell r="CB18">
            <v>2.6326757100162923</v>
          </cell>
          <cell r="CC18">
            <v>3.7879136918779208</v>
          </cell>
          <cell r="CD18">
            <v>3.1776967902782527</v>
          </cell>
          <cell r="CE18">
            <v>2.7263448883095518</v>
          </cell>
          <cell r="CF18">
            <v>2.6674837467144417</v>
          </cell>
          <cell r="CG18">
            <v>2.620081292399262</v>
          </cell>
          <cell r="CH18">
            <v>0</v>
          </cell>
          <cell r="CI18">
            <v>0</v>
          </cell>
        </row>
        <row r="19">
          <cell r="BM19">
            <v>1.3240702901511856</v>
          </cell>
          <cell r="BN19">
            <v>1.5487617972090104</v>
          </cell>
          <cell r="BO19">
            <v>1.2630073874017025</v>
          </cell>
          <cell r="BP19">
            <v>1.2158770003137789</v>
          </cell>
          <cell r="BQ19">
            <v>1.0230179028132806</v>
          </cell>
          <cell r="BR19">
            <v>0.66743383199080186</v>
          </cell>
          <cell r="BS19">
            <v>1.4403292181069984</v>
          </cell>
          <cell r="BT19">
            <v>0.46720757268422852</v>
          </cell>
          <cell r="BU19">
            <v>1.6247432362809562</v>
          </cell>
          <cell r="BV19">
            <v>0.89923306552310789</v>
          </cell>
          <cell r="BW19">
            <v>-0.83929618426156671</v>
          </cell>
          <cell r="BX19">
            <v>3.8903952832817904E-2</v>
          </cell>
          <cell r="BY19">
            <v>1.1867339857442019</v>
          </cell>
          <cell r="BZ19">
            <v>0.49127053953305527</v>
          </cell>
          <cell r="CA19">
            <v>0.24060272138450484</v>
          </cell>
          <cell r="CB19">
            <v>0.34445926170608182</v>
          </cell>
          <cell r="CC19">
            <v>0.89959225097158091</v>
          </cell>
          <cell r="CD19">
            <v>1.4806957906786775</v>
          </cell>
          <cell r="CE19">
            <v>0.81728250303663763</v>
          </cell>
          <cell r="CF19">
            <v>0.81624812305332395</v>
          </cell>
          <cell r="CG19">
            <v>0.86451645429398882</v>
          </cell>
          <cell r="CH19">
            <v>0</v>
          </cell>
          <cell r="CI19">
            <v>0</v>
          </cell>
        </row>
        <row r="20">
          <cell r="BM20">
            <v>1.3178486121406758</v>
          </cell>
          <cell r="BN20">
            <v>2.6664498821234059</v>
          </cell>
          <cell r="BO20">
            <v>2.5180140945443084</v>
          </cell>
          <cell r="BP20">
            <v>1.7533019232254698</v>
          </cell>
          <cell r="BQ20">
            <v>1.6395931379990605</v>
          </cell>
          <cell r="BR20">
            <v>1.8820014936519871</v>
          </cell>
          <cell r="BS20">
            <v>2.7122122855886195</v>
          </cell>
          <cell r="BT20">
            <v>2.4065087068227622</v>
          </cell>
          <cell r="BU20">
            <v>3.3909207481949957</v>
          </cell>
          <cell r="BV20">
            <v>3.0428484669147591</v>
          </cell>
          <cell r="BW20">
            <v>1.9827044847977544</v>
          </cell>
          <cell r="BX20">
            <v>1.1909328236146766</v>
          </cell>
          <cell r="BY20">
            <v>1.8087635815737457</v>
          </cell>
          <cell r="BZ20">
            <v>1.5256529351261303</v>
          </cell>
          <cell r="CA20">
            <v>1.200697151295572</v>
          </cell>
          <cell r="CB20">
            <v>0.50217698905900343</v>
          </cell>
          <cell r="CC20">
            <v>0.66909777618597177</v>
          </cell>
          <cell r="CD20">
            <v>-0.41888501370688347</v>
          </cell>
          <cell r="CE20">
            <v>1.9030133008718217</v>
          </cell>
          <cell r="CF20">
            <v>0.52790479109603261</v>
          </cell>
          <cell r="CG20">
            <v>0.35860966449462273</v>
          </cell>
          <cell r="CH20">
            <v>0</v>
          </cell>
          <cell r="CI20">
            <v>0</v>
          </cell>
        </row>
        <row r="21">
          <cell r="BM21">
            <v>4.9561177077955643</v>
          </cell>
          <cell r="BN21">
            <v>4.2670929660600088</v>
          </cell>
          <cell r="BO21">
            <v>3.7533907300389253</v>
          </cell>
          <cell r="BP21">
            <v>1.8699025263576543</v>
          </cell>
          <cell r="BQ21">
            <v>2.011325912907671</v>
          </cell>
          <cell r="BR21">
            <v>2.8276088383285765</v>
          </cell>
          <cell r="BS21">
            <v>2.6674113079091404</v>
          </cell>
          <cell r="BT21">
            <v>3.6119673617406907</v>
          </cell>
          <cell r="BU21">
            <v>3.6159542393136066</v>
          </cell>
          <cell r="BV21">
            <v>6.7184677033308171</v>
          </cell>
          <cell r="BW21">
            <v>3.4471633460154507</v>
          </cell>
          <cell r="BX21">
            <v>1.5560276839871146</v>
          </cell>
          <cell r="BY21">
            <v>1.8517255174809191</v>
          </cell>
          <cell r="BZ21">
            <v>1.6752040098573153</v>
          </cell>
          <cell r="CA21">
            <v>1.7694440172734007</v>
          </cell>
          <cell r="CB21">
            <v>1.666351518408802</v>
          </cell>
          <cell r="CC21">
            <v>1.9704063453423211</v>
          </cell>
          <cell r="CD21">
            <v>2.1095154654283435</v>
          </cell>
          <cell r="CE21">
            <v>2.7936063820129671</v>
          </cell>
          <cell r="CF21">
            <v>2.8427602811302677</v>
          </cell>
          <cell r="CG21">
            <v>2.8449399736195948</v>
          </cell>
          <cell r="CH21">
            <v>0</v>
          </cell>
          <cell r="CI21">
            <v>0</v>
          </cell>
        </row>
        <row r="22">
          <cell r="BM22">
            <v>3.466408004900976</v>
          </cell>
          <cell r="BN22">
            <v>2.7384418019440302</v>
          </cell>
          <cell r="BO22">
            <v>1.3591393718182778</v>
          </cell>
          <cell r="BP22">
            <v>2.2364368633025209</v>
          </cell>
          <cell r="BQ22">
            <v>2.5999907308708572</v>
          </cell>
          <cell r="BR22">
            <v>3.5188363899177766</v>
          </cell>
          <cell r="BS22">
            <v>3.2290439411790328</v>
          </cell>
          <cell r="BT22">
            <v>2.8535317242253964</v>
          </cell>
          <cell r="BU22">
            <v>4.0861727284907214</v>
          </cell>
          <cell r="BV22">
            <v>-0.67420007099335899</v>
          </cell>
          <cell r="BW22">
            <v>2.0689660655536826</v>
          </cell>
          <cell r="BX22">
            <v>3.5557691573694234</v>
          </cell>
          <cell r="BY22">
            <v>2.1005302944826632</v>
          </cell>
          <cell r="BZ22">
            <v>1.3681181073328712</v>
          </cell>
          <cell r="CA22">
            <v>1.5027479276076257</v>
          </cell>
          <cell r="CB22">
            <v>-0.41263819942817831</v>
          </cell>
          <cell r="CC22">
            <v>0.97752469695007227</v>
          </cell>
          <cell r="CD22">
            <v>2.3562852765142184</v>
          </cell>
          <cell r="CE22">
            <v>2.3656390774288658</v>
          </cell>
          <cell r="CF22">
            <v>2.2709039606826376</v>
          </cell>
          <cell r="CG22">
            <v>2.1981064520798741</v>
          </cell>
          <cell r="CH22">
            <v>0</v>
          </cell>
          <cell r="CI22">
            <v>0</v>
          </cell>
        </row>
        <row r="23">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row>
        <row r="24">
          <cell r="BM24">
            <v>3.2967032967032934</v>
          </cell>
          <cell r="BN24">
            <v>3.3615078208491118</v>
          </cell>
          <cell r="BO24">
            <v>2.772816994078418</v>
          </cell>
          <cell r="BP24">
            <v>2.5928297055057588</v>
          </cell>
          <cell r="BQ24">
            <v>3.3385335413416271</v>
          </cell>
          <cell r="BR24">
            <v>4.4685990338164512</v>
          </cell>
          <cell r="BS24">
            <v>4.2650701899256882</v>
          </cell>
          <cell r="BT24">
            <v>3.2768779946936846</v>
          </cell>
          <cell r="BU24">
            <v>3.5290720925319139</v>
          </cell>
          <cell r="BV24">
            <v>-0.79512134961373637</v>
          </cell>
          <cell r="BW24">
            <v>1.1986760356631028</v>
          </cell>
          <cell r="BX24">
            <v>2.6712730519085075</v>
          </cell>
          <cell r="BY24">
            <v>2.0347873140455408</v>
          </cell>
          <cell r="BZ24">
            <v>1.0814952749727953</v>
          </cell>
          <cell r="CA24">
            <v>1.3490756262706884</v>
          </cell>
          <cell r="CB24">
            <v>0.90663819615571606</v>
          </cell>
          <cell r="CC24">
            <v>1.8860976602619257</v>
          </cell>
          <cell r="CD24">
            <v>2.834064437012874</v>
          </cell>
          <cell r="CE24">
            <v>2.5449814158141257</v>
          </cell>
          <cell r="CF24">
            <v>2.5855280067832518</v>
          </cell>
          <cell r="CG24">
            <v>2.5624349832936346</v>
          </cell>
          <cell r="CH24">
            <v>0</v>
          </cell>
          <cell r="CI24">
            <v>0</v>
          </cell>
        </row>
        <row r="25">
          <cell r="BM25">
            <v>2.0637991764647698</v>
          </cell>
          <cell r="BN25">
            <v>4.5788168959315403</v>
          </cell>
          <cell r="BO25">
            <v>2.1148036253776543</v>
          </cell>
          <cell r="BP25">
            <v>2.8903049613108731</v>
          </cell>
          <cell r="BQ25">
            <v>2.8666224286662274</v>
          </cell>
          <cell r="BR25">
            <v>2.2319700683782679</v>
          </cell>
          <cell r="BS25">
            <v>2.1495877502944745</v>
          </cell>
          <cell r="BT25">
            <v>3.7285343656055612</v>
          </cell>
          <cell r="BU25">
            <v>4.6489256959552963</v>
          </cell>
          <cell r="BV25">
            <v>0.95696448210675233</v>
          </cell>
          <cell r="BW25">
            <v>0.62611699241381724</v>
          </cell>
          <cell r="BX25">
            <v>4.0218819295951302</v>
          </cell>
          <cell r="BY25">
            <v>2.024070866353755</v>
          </cell>
          <cell r="BZ25">
            <v>0.89992420579710486</v>
          </cell>
          <cell r="CA25">
            <v>2.4146977782938857</v>
          </cell>
          <cell r="CB25">
            <v>1.9388624459516612</v>
          </cell>
          <cell r="CC25">
            <v>0.86586290164450219</v>
          </cell>
          <cell r="CD25">
            <v>2.1033265188336721</v>
          </cell>
          <cell r="CE25">
            <v>3.0687831806944836</v>
          </cell>
          <cell r="CF25">
            <v>3.6067421086049309</v>
          </cell>
          <cell r="CG25">
            <v>3.4313017239196539</v>
          </cell>
          <cell r="CH25">
            <v>0</v>
          </cell>
          <cell r="CI25">
            <v>0</v>
          </cell>
        </row>
        <row r="26">
          <cell r="BM26">
            <v>2.0618556701030886</v>
          </cell>
          <cell r="BN26">
            <v>4.9902696691687645</v>
          </cell>
          <cell r="BO26">
            <v>1.5137472968798349</v>
          </cell>
          <cell r="BP26">
            <v>3.1953743152769021</v>
          </cell>
          <cell r="BQ26">
            <v>3.2270295319543583</v>
          </cell>
          <cell r="BR26">
            <v>1.0774190915397919</v>
          </cell>
          <cell r="BS26">
            <v>1.1184237089675935</v>
          </cell>
          <cell r="BT26">
            <v>5.2141431081296856</v>
          </cell>
          <cell r="BU26">
            <v>5.9426189846386315</v>
          </cell>
          <cell r="BV26">
            <v>-0.65708543937643116</v>
          </cell>
          <cell r="BW26">
            <v>5.9858064269538547E-2</v>
          </cell>
          <cell r="BX26">
            <v>5.10831612242227</v>
          </cell>
          <cell r="BY26">
            <v>1.6371595093938984</v>
          </cell>
          <cell r="BZ26">
            <v>1.0092474430632361</v>
          </cell>
          <cell r="CA26">
            <v>2.1584975478450024</v>
          </cell>
          <cell r="CB26">
            <v>1.3480499925300695</v>
          </cell>
          <cell r="CC26">
            <v>-1.2367374336851455</v>
          </cell>
          <cell r="CD26">
            <v>1.06605130523167</v>
          </cell>
          <cell r="CE26">
            <v>2.6369339112282169</v>
          </cell>
          <cell r="CF26">
            <v>3.5911592555571565</v>
          </cell>
          <cell r="CG26">
            <v>3.3031706926325581</v>
          </cell>
          <cell r="CH26">
            <v>0</v>
          </cell>
          <cell r="CI26">
            <v>0</v>
          </cell>
        </row>
        <row r="27">
          <cell r="BM27">
            <v>2.0923405390979535</v>
          </cell>
          <cell r="BN27">
            <v>3.9002457259371579</v>
          </cell>
          <cell r="BO27">
            <v>2.9990439289488262</v>
          </cell>
          <cell r="BP27">
            <v>2.5062289315550208</v>
          </cell>
          <cell r="BQ27">
            <v>2.1971213421027396</v>
          </cell>
          <cell r="BR27">
            <v>3.6142330830574299</v>
          </cell>
          <cell r="BS27">
            <v>3.3756413718606382</v>
          </cell>
          <cell r="BT27">
            <v>1.945489376523863</v>
          </cell>
          <cell r="BU27">
            <v>3.082147902783027</v>
          </cell>
          <cell r="BV27">
            <v>2.9425948728317093</v>
          </cell>
          <cell r="BW27">
            <v>1.2510283030865927</v>
          </cell>
          <cell r="BX27">
            <v>2.6268006487105451</v>
          </cell>
          <cell r="BY27">
            <v>2.5433372426839096</v>
          </cell>
          <cell r="BZ27">
            <v>0.75557816800621547</v>
          </cell>
          <cell r="CA27">
            <v>2.7230607685885708</v>
          </cell>
          <cell r="CB27">
            <v>2.7778396154080589</v>
          </cell>
          <cell r="CC27">
            <v>3.7614673035378776</v>
          </cell>
          <cell r="CD27">
            <v>3.4417139683410065</v>
          </cell>
          <cell r="CE27">
            <v>3.6130941676501833</v>
          </cell>
          <cell r="CF27">
            <v>3.6261955456122825</v>
          </cell>
          <cell r="CG27">
            <v>3.5912048037526652</v>
          </cell>
          <cell r="CH27">
            <v>0</v>
          </cell>
          <cell r="CI27">
            <v>0</v>
          </cell>
        </row>
        <row r="28">
          <cell r="BM28">
            <v>3.4072900158478387</v>
          </cell>
          <cell r="BN28">
            <v>0.6257982120051202</v>
          </cell>
          <cell r="BO28">
            <v>1.772644582645841</v>
          </cell>
          <cell r="BP28">
            <v>2.4775523777851829</v>
          </cell>
          <cell r="BQ28">
            <v>1.289956190167115</v>
          </cell>
          <cell r="BR28">
            <v>1.5498598317981687</v>
          </cell>
          <cell r="BS28">
            <v>-0.17746578853968062</v>
          </cell>
          <cell r="BT28">
            <v>2.5406131479140508</v>
          </cell>
          <cell r="BU28">
            <v>3.1788382081657893</v>
          </cell>
          <cell r="BV28">
            <v>0.9710923949268554</v>
          </cell>
          <cell r="BW28">
            <v>0.70339690409206923</v>
          </cell>
          <cell r="BX28">
            <v>-0.1796153638523808</v>
          </cell>
          <cell r="BY28">
            <v>-0.27371557861045392</v>
          </cell>
          <cell r="BZ28">
            <v>0.34319421848887027</v>
          </cell>
          <cell r="CA28">
            <v>0.34154248527490194</v>
          </cell>
          <cell r="CB28">
            <v>1.7375132039205456</v>
          </cell>
          <cell r="CC28">
            <v>1.8578001062402656</v>
          </cell>
          <cell r="CD28">
            <v>0.75995885883836789</v>
          </cell>
          <cell r="CE28">
            <v>1.5616612364705715</v>
          </cell>
          <cell r="CF28">
            <v>1.6671749629522967</v>
          </cell>
          <cell r="CG28">
            <v>1.6507754720588124</v>
          </cell>
          <cell r="CH28">
            <v>0</v>
          </cell>
          <cell r="CI28">
            <v>0</v>
          </cell>
        </row>
        <row r="29">
          <cell r="BM29">
            <v>3.6651668541432558</v>
          </cell>
          <cell r="BN29">
            <v>4.5799801067004227</v>
          </cell>
          <cell r="BO29">
            <v>5.4385889066620479</v>
          </cell>
          <cell r="BP29">
            <v>4.0264053466726537</v>
          </cell>
          <cell r="BQ29">
            <v>5.1909660636159654</v>
          </cell>
          <cell r="BR29">
            <v>5.9839628297362255</v>
          </cell>
          <cell r="BS29">
            <v>5.6708502739968081</v>
          </cell>
          <cell r="BT29">
            <v>6.3192478838368507</v>
          </cell>
          <cell r="BU29">
            <v>3.2779843513199216</v>
          </cell>
          <cell r="BV29">
            <v>0.61606798168037979</v>
          </cell>
          <cell r="BW29">
            <v>-0.87185304657979878</v>
          </cell>
          <cell r="BX29">
            <v>0.71800577508452146</v>
          </cell>
          <cell r="BY29">
            <v>1.9671962085308126</v>
          </cell>
          <cell r="BZ29">
            <v>1.9004495005697799</v>
          </cell>
          <cell r="CA29">
            <v>2.3583766904609265</v>
          </cell>
          <cell r="CB29">
            <v>3.5901127307489671</v>
          </cell>
          <cell r="CC29">
            <v>4.5251042592390576</v>
          </cell>
          <cell r="CD29">
            <v>4.6347890362703339</v>
          </cell>
          <cell r="CE29">
            <v>3.7209736239959068</v>
          </cell>
          <cell r="CF29">
            <v>4.0580441107947287</v>
          </cell>
          <cell r="CG29">
            <v>4.1041919379721952</v>
          </cell>
          <cell r="CH29">
            <v>0</v>
          </cell>
          <cell r="CI29">
            <v>0</v>
          </cell>
        </row>
        <row r="30">
          <cell r="BM30">
            <v>4.0307948805962974</v>
          </cell>
          <cell r="BN30">
            <v>5.4348338439783106</v>
          </cell>
          <cell r="BO30">
            <v>5.6777539341917231</v>
          </cell>
          <cell r="BP30">
            <v>5.2754040104915729</v>
          </cell>
          <cell r="BQ30">
            <v>6.4054651396423816</v>
          </cell>
          <cell r="BR30">
            <v>6.4655009630272708</v>
          </cell>
          <cell r="BS30">
            <v>5.7607037707069511</v>
          </cell>
          <cell r="BT30">
            <v>6.158007714237824</v>
          </cell>
          <cell r="BU30">
            <v>4.519445035087343</v>
          </cell>
          <cell r="BV30">
            <v>1.6600234693390108</v>
          </cell>
          <cell r="BW30">
            <v>-0.17956850037256999</v>
          </cell>
          <cell r="BX30">
            <v>1.3200684058465184</v>
          </cell>
          <cell r="BY30">
            <v>2.1434800069854636</v>
          </cell>
          <cell r="BZ30">
            <v>2.4315210930720288</v>
          </cell>
          <cell r="CA30">
            <v>2.8322246019778801</v>
          </cell>
          <cell r="CB30">
            <v>3.866033540528476</v>
          </cell>
          <cell r="CC30">
            <v>4.690303134103706</v>
          </cell>
          <cell r="CD30">
            <v>4.7754147809560212</v>
          </cell>
          <cell r="CE30">
            <v>4.1043695726443676</v>
          </cell>
          <cell r="CF30">
            <v>4.1588543446808632</v>
          </cell>
          <cell r="CG30">
            <v>4.1274267735939336</v>
          </cell>
          <cell r="CH30">
            <v>0</v>
          </cell>
          <cell r="CI30">
            <v>0</v>
          </cell>
        </row>
        <row r="31">
          <cell r="BM31">
            <v>3.2272503468958686</v>
          </cell>
          <cell r="BN31">
            <v>4.4748937646344453</v>
          </cell>
          <cell r="BO31">
            <v>5.3332779945214766</v>
          </cell>
          <cell r="BP31">
            <v>4.8071240001575779</v>
          </cell>
          <cell r="BQ31">
            <v>4.7934132862137808</v>
          </cell>
          <cell r="BR31">
            <v>6.1168113654301539</v>
          </cell>
          <cell r="BS31">
            <v>5.4396700361743235</v>
          </cell>
          <cell r="BT31">
            <v>5.7561241503142062</v>
          </cell>
          <cell r="BU31">
            <v>3.6517356401224874</v>
          </cell>
          <cell r="BV31">
            <v>0.95900043524449075</v>
          </cell>
          <cell r="BW31">
            <v>-0.7363349957729306</v>
          </cell>
          <cell r="BX31">
            <v>0.56457137319883277</v>
          </cell>
          <cell r="BY31">
            <v>1.8921300416022666</v>
          </cell>
          <cell r="BZ31">
            <v>1.8593005618577856</v>
          </cell>
          <cell r="CA31">
            <v>2.2232140335334818</v>
          </cell>
          <cell r="CB31">
            <v>3.2821403657552262</v>
          </cell>
          <cell r="CC31">
            <v>4.3879275112457847</v>
          </cell>
          <cell r="CD31">
            <v>4.437592138215563</v>
          </cell>
          <cell r="CE31">
            <v>3.8130972226659599</v>
          </cell>
          <cell r="CF31">
            <v>4.2263968169070187</v>
          </cell>
          <cell r="CG31">
            <v>4.2741953628285847</v>
          </cell>
          <cell r="CH31">
            <v>0</v>
          </cell>
          <cell r="CI31">
            <v>0</v>
          </cell>
        </row>
        <row r="32">
          <cell r="BM32">
            <v>7.0683329511579736</v>
          </cell>
          <cell r="BN32">
            <v>14.520533276222086</v>
          </cell>
          <cell r="BO32">
            <v>4.8903642059002301</v>
          </cell>
          <cell r="BP32">
            <v>-1.782928459993921E-2</v>
          </cell>
          <cell r="BQ32">
            <v>-1.1903169720476245</v>
          </cell>
          <cell r="BR32">
            <v>9.4838476809239811</v>
          </cell>
          <cell r="BS32">
            <v>14.279238440616531</v>
          </cell>
          <cell r="BT32">
            <v>0.79661750387653651</v>
          </cell>
          <cell r="BU32">
            <v>4.9428464816894415</v>
          </cell>
          <cell r="BV32">
            <v>-3.9169851020317137</v>
          </cell>
          <cell r="BW32">
            <v>7.6820483853914325</v>
          </cell>
          <cell r="BX32">
            <v>2.9891573851330944</v>
          </cell>
          <cell r="BY32">
            <v>1.5699578556919809</v>
          </cell>
          <cell r="BZ32">
            <v>7.8778843509794845</v>
          </cell>
          <cell r="CA32">
            <v>4.1453604740624934</v>
          </cell>
          <cell r="CB32">
            <v>-0.7548422440267879</v>
          </cell>
          <cell r="CC32">
            <v>2.1112659799079756</v>
          </cell>
          <cell r="CD32">
            <v>2.0412731408924309</v>
          </cell>
          <cell r="CE32">
            <v>3.0393750369906223</v>
          </cell>
          <cell r="CF32">
            <v>2.4037102293823143</v>
          </cell>
          <cell r="CG32">
            <v>2.2619159359194558</v>
          </cell>
          <cell r="CH32">
            <v>0</v>
          </cell>
          <cell r="CI32">
            <v>0</v>
          </cell>
        </row>
        <row r="33">
          <cell r="BM33">
            <v>2.5684352821899092</v>
          </cell>
          <cell r="BN33">
            <v>1.4299835255354343</v>
          </cell>
          <cell r="BO33">
            <v>0.51975051975051234</v>
          </cell>
          <cell r="BP33">
            <v>-3.8973629782833439</v>
          </cell>
          <cell r="BQ33">
            <v>-1.3181787611809972</v>
          </cell>
          <cell r="BR33">
            <v>2.9305527158726759</v>
          </cell>
          <cell r="BS33">
            <v>3.1053433092763356</v>
          </cell>
          <cell r="BT33">
            <v>-0.99216542512203121</v>
          </cell>
          <cell r="BU33">
            <v>-1.2592184206259041</v>
          </cell>
          <cell r="BV33">
            <v>6.286391440522196E-2</v>
          </cell>
          <cell r="BW33">
            <v>-3.4804203787452428</v>
          </cell>
          <cell r="BX33">
            <v>-1.0208287423585862</v>
          </cell>
          <cell r="BY33">
            <v>-0.38171689456299518</v>
          </cell>
          <cell r="BZ33">
            <v>-1.1954098469213146</v>
          </cell>
          <cell r="CA33">
            <v>-1.5020434493033432</v>
          </cell>
          <cell r="CB33">
            <v>-1.500991943251909</v>
          </cell>
          <cell r="CC33">
            <v>-0.25077535277651136</v>
          </cell>
          <cell r="CD33">
            <v>0.76107790694738819</v>
          </cell>
          <cell r="CE33">
            <v>-0.40122280562998497</v>
          </cell>
          <cell r="CF33">
            <v>-0.18133186117107425</v>
          </cell>
          <cell r="CG33">
            <v>-0.17294043532453815</v>
          </cell>
          <cell r="CH33">
            <v>0</v>
          </cell>
          <cell r="CJ33">
            <v>0</v>
          </cell>
        </row>
        <row r="34">
          <cell r="BM34">
            <v>-0.96614950634697871</v>
          </cell>
          <cell r="BN34">
            <v>-4.1871395001068077</v>
          </cell>
          <cell r="BO34">
            <v>-2.8019323671497829</v>
          </cell>
          <cell r="BP34">
            <v>-2.385685884691831</v>
          </cell>
          <cell r="BQ34">
            <v>-1.3159956133479342</v>
          </cell>
          <cell r="BR34">
            <v>0.40482616288295387</v>
          </cell>
          <cell r="BS34">
            <v>0.48225156138828545</v>
          </cell>
          <cell r="BT34">
            <v>-1.4703383162864145</v>
          </cell>
          <cell r="BU34">
            <v>1.8905033250499981</v>
          </cell>
          <cell r="BV34">
            <v>1.5102034738598467</v>
          </cell>
          <cell r="BW34">
            <v>0.99238992724996222</v>
          </cell>
          <cell r="BX34">
            <v>2.3533171114683902</v>
          </cell>
          <cell r="BY34">
            <v>1.7775852475361897</v>
          </cell>
          <cell r="BZ34">
            <v>-1.8674758474933724</v>
          </cell>
          <cell r="CA34">
            <v>1.2769518271493614</v>
          </cell>
          <cell r="CB34">
            <v>-2.6721099767190051</v>
          </cell>
          <cell r="CC34">
            <v>1.1389585580828596</v>
          </cell>
          <cell r="CD34">
            <v>-1.4879529414235708</v>
          </cell>
          <cell r="CE34">
            <v>1.1139255426592265</v>
          </cell>
          <cell r="CF34">
            <v>0.55102652627976922</v>
          </cell>
          <cell r="CG34">
            <v>0.28864855230119668</v>
          </cell>
          <cell r="CH34">
            <v>0</v>
          </cell>
          <cell r="CJ34">
            <v>0</v>
          </cell>
        </row>
        <row r="35">
          <cell r="BM35">
            <v>5.0820509908579936</v>
          </cell>
          <cell r="BN35">
            <v>0.68086026153680623</v>
          </cell>
          <cell r="BO35">
            <v>-0.52060970373552951</v>
          </cell>
          <cell r="BP35">
            <v>3.7766387914755937</v>
          </cell>
          <cell r="BQ35">
            <v>3.883545619963622</v>
          </cell>
          <cell r="BR35">
            <v>4.9594635171654442</v>
          </cell>
          <cell r="BS35">
            <v>3.8954846707671789</v>
          </cell>
          <cell r="BT35">
            <v>0.87237264800365111</v>
          </cell>
          <cell r="BU35">
            <v>5.1454293408261851</v>
          </cell>
          <cell r="BV35">
            <v>-7.2743093566456913</v>
          </cell>
          <cell r="BW35">
            <v>6.8867362361635962</v>
          </cell>
          <cell r="BX35">
            <v>8.8503259667567633</v>
          </cell>
          <cell r="BY35">
            <v>2.9741779348925594</v>
          </cell>
          <cell r="BZ35">
            <v>-0.74011207233327081</v>
          </cell>
          <cell r="CA35">
            <v>-1.4297334808218687</v>
          </cell>
          <cell r="CB35">
            <v>-4.5608080537863662</v>
          </cell>
          <cell r="CC35">
            <v>-4.238182096508667</v>
          </cell>
          <cell r="CD35">
            <v>4.0764750309295712</v>
          </cell>
          <cell r="CE35">
            <v>1.6626994611196526</v>
          </cell>
          <cell r="CF35">
            <v>3.9182501546206447</v>
          </cell>
          <cell r="CG35">
            <v>4.0855113785185706</v>
          </cell>
          <cell r="CH35">
            <v>0</v>
          </cell>
          <cell r="CJ35">
            <v>0</v>
          </cell>
        </row>
        <row r="36">
          <cell r="BM36">
            <v>19.128664495113995</v>
          </cell>
          <cell r="BN36">
            <v>0.25292227766767295</v>
          </cell>
          <cell r="BO36">
            <v>-3.7842629210418885</v>
          </cell>
          <cell r="BP36">
            <v>20.841896392885015</v>
          </cell>
          <cell r="BQ36">
            <v>16.520056298381412</v>
          </cell>
          <cell r="BR36">
            <v>15.350546076803035</v>
          </cell>
          <cell r="BS36">
            <v>13.45608447139927</v>
          </cell>
          <cell r="BT36">
            <v>7.3846094681383079</v>
          </cell>
          <cell r="BU36">
            <v>15.116236594490177</v>
          </cell>
          <cell r="BV36">
            <v>-23.469550923091482</v>
          </cell>
          <cell r="BW36">
            <v>15.221907905140128</v>
          </cell>
          <cell r="BX36">
            <v>23.767960607761498</v>
          </cell>
          <cell r="BY36">
            <v>5.8349642918428923</v>
          </cell>
          <cell r="BZ36">
            <v>-3.0510694984085331</v>
          </cell>
          <cell r="CA36">
            <v>-4.4374343673428518</v>
          </cell>
          <cell r="CB36">
            <v>-14.320794708840584</v>
          </cell>
          <cell r="CC36">
            <v>-14.974431984940475</v>
          </cell>
          <cell r="CD36">
            <v>10.380868388865494</v>
          </cell>
          <cell r="CE36">
            <v>-0.63825909657044599</v>
          </cell>
          <cell r="CF36">
            <v>8.0092121002543539</v>
          </cell>
          <cell r="CG36">
            <v>9.0014071709799701</v>
          </cell>
          <cell r="CH36">
            <v>0</v>
          </cell>
          <cell r="CJ36">
            <v>0</v>
          </cell>
        </row>
        <row r="37">
          <cell r="BM37">
            <v>3.1353304024810082</v>
          </cell>
          <cell r="BN37">
            <v>5.3200277566665299</v>
          </cell>
          <cell r="BO37">
            <v>5.8701722461017285</v>
          </cell>
          <cell r="BP37">
            <v>3.1679706021811382</v>
          </cell>
          <cell r="BQ37">
            <v>3.4498606842271538</v>
          </cell>
          <cell r="BR37">
            <v>5.0785805520075362</v>
          </cell>
          <cell r="BS37">
            <v>4.0456623417805302</v>
          </cell>
          <cell r="BT37">
            <v>3.6100218418245502</v>
          </cell>
          <cell r="BU37">
            <v>3.8236654564815087</v>
          </cell>
          <cell r="BV37">
            <v>2.9713643797504412</v>
          </cell>
          <cell r="BW37">
            <v>3.0664592094890972</v>
          </cell>
          <cell r="BX37">
            <v>3.8585604573134882</v>
          </cell>
          <cell r="BY37">
            <v>3.8340870617956018</v>
          </cell>
          <cell r="BZ37">
            <v>1.326088185287231</v>
          </cell>
          <cell r="CA37">
            <v>2.1255946589563259</v>
          </cell>
          <cell r="CB37">
            <v>2.1820262327174609</v>
          </cell>
          <cell r="CC37">
            <v>7.6318387829512693</v>
          </cell>
          <cell r="CD37">
            <v>3.3790915436702753</v>
          </cell>
          <cell r="CE37">
            <v>3.1290276993146557</v>
          </cell>
          <cell r="CF37">
            <v>2.892107561246307</v>
          </cell>
          <cell r="CG37">
            <v>2.808338831759122</v>
          </cell>
          <cell r="CH37">
            <v>0</v>
          </cell>
          <cell r="CJ37">
            <v>0</v>
          </cell>
        </row>
        <row r="38">
          <cell r="BM38">
            <v>2.5607461343368789</v>
          </cell>
          <cell r="BN38">
            <v>1.4677728142948703</v>
          </cell>
          <cell r="BO38">
            <v>2.7672955974842663</v>
          </cell>
          <cell r="BP38">
            <v>1.1704406364748872</v>
          </cell>
          <cell r="BQ38">
            <v>1.8449905482041833</v>
          </cell>
          <cell r="BR38">
            <v>0.76471898433439822</v>
          </cell>
          <cell r="BS38">
            <v>1.6872973769525474</v>
          </cell>
          <cell r="BT38">
            <v>-0.61901311499169243</v>
          </cell>
          <cell r="BU38">
            <v>1.1785146370147412</v>
          </cell>
          <cell r="BV38">
            <v>-2.8185780859409082</v>
          </cell>
          <cell r="BW38">
            <v>-5.6221716185664272</v>
          </cell>
          <cell r="BX38">
            <v>-1.7297487558788065</v>
          </cell>
          <cell r="BY38">
            <v>-0.31476610407991951</v>
          </cell>
          <cell r="BZ38">
            <v>-0.4091165376597875</v>
          </cell>
          <cell r="CA38">
            <v>1.2718525414501591</v>
          </cell>
          <cell r="CB38">
            <v>-0.6832468539392933</v>
          </cell>
          <cell r="CC38">
            <v>2.63921283207348</v>
          </cell>
          <cell r="CD38">
            <v>-0.37608384462069228</v>
          </cell>
          <cell r="CE38">
            <v>0.47866450965254032</v>
          </cell>
          <cell r="CF38">
            <v>0.49070793973973825</v>
          </cell>
          <cell r="CG38">
            <v>0.44451127567654847</v>
          </cell>
          <cell r="CH38">
            <v>0</v>
          </cell>
          <cell r="CJ38">
            <v>0</v>
          </cell>
        </row>
        <row r="39">
          <cell r="BM39">
            <v>0.56297790101673939</v>
          </cell>
          <cell r="BN39">
            <v>1.737967914438475</v>
          </cell>
          <cell r="BO39">
            <v>1.585085413929056</v>
          </cell>
          <cell r="BP39">
            <v>3.8483305036785249</v>
          </cell>
          <cell r="BQ39">
            <v>4.1961852861035771</v>
          </cell>
          <cell r="BR39">
            <v>3.474297668858338</v>
          </cell>
          <cell r="BS39">
            <v>2.1590006498663978</v>
          </cell>
          <cell r="BT39">
            <v>2.3236499858637467</v>
          </cell>
          <cell r="BU39">
            <v>4.1610858790819583</v>
          </cell>
          <cell r="BV39">
            <v>3.2625202763553038</v>
          </cell>
          <cell r="BW39">
            <v>3.6479760582103657</v>
          </cell>
          <cell r="BX39">
            <v>2.0981924056625427</v>
          </cell>
          <cell r="BY39">
            <v>2.6981822772027146</v>
          </cell>
          <cell r="BZ39">
            <v>2.2103300012527733</v>
          </cell>
          <cell r="CA39">
            <v>0.86989200064754302</v>
          </cell>
          <cell r="CB39">
            <v>0.66006146664786458</v>
          </cell>
          <cell r="CC39">
            <v>-1.6505504492080048</v>
          </cell>
          <cell r="CD39">
            <v>8.7829251135501524E-3</v>
          </cell>
          <cell r="CE39">
            <v>2.1710734611244051</v>
          </cell>
          <cell r="CF39">
            <v>0.76908820036565517</v>
          </cell>
          <cell r="CG39">
            <v>0.62211176352341313</v>
          </cell>
          <cell r="CH39">
            <v>0</v>
          </cell>
          <cell r="CJ39">
            <v>0</v>
          </cell>
        </row>
        <row r="40">
          <cell r="BM40">
            <v>4.211993575952258</v>
          </cell>
          <cell r="BN40">
            <v>2.9687999767380773</v>
          </cell>
          <cell r="BO40">
            <v>0.54783689144922887</v>
          </cell>
          <cell r="BP40">
            <v>0.69089479301239831</v>
          </cell>
          <cell r="BQ40">
            <v>1.0543344862211619</v>
          </cell>
          <cell r="BR40">
            <v>2.274358266629867</v>
          </cell>
          <cell r="BS40">
            <v>4.2721433583418778</v>
          </cell>
          <cell r="BT40">
            <v>2.599270129668461</v>
          </cell>
          <cell r="BU40">
            <v>3.2546123636774427</v>
          </cell>
          <cell r="BV40">
            <v>3.8301110759574777</v>
          </cell>
          <cell r="BW40">
            <v>2.6976291536987862</v>
          </cell>
          <cell r="BX40">
            <v>1.638193414050042</v>
          </cell>
          <cell r="BY40">
            <v>0.69210002380488145</v>
          </cell>
          <cell r="BZ40">
            <v>0.82115338032036023</v>
          </cell>
          <cell r="CA40">
            <v>1.0404479237561819</v>
          </cell>
          <cell r="CB40">
            <v>1.6863719564924908</v>
          </cell>
          <cell r="CC40">
            <v>1.4509288451613664</v>
          </cell>
          <cell r="CD40">
            <v>0.57676424655173397</v>
          </cell>
          <cell r="CE40">
            <v>2.2497030603345207</v>
          </cell>
          <cell r="CF40">
            <v>2.3026004590033597</v>
          </cell>
          <cell r="CG40">
            <v>2.2475080267420866</v>
          </cell>
          <cell r="CH40">
            <v>0</v>
          </cell>
          <cell r="CJ40">
            <v>0</v>
          </cell>
        </row>
        <row r="41">
          <cell r="BM41">
            <v>3.2536035095049072</v>
          </cell>
          <cell r="BN41">
            <v>3.2825856051793023</v>
          </cell>
          <cell r="BO41">
            <v>2.8452497551420186</v>
          </cell>
          <cell r="BP41">
            <v>3.0093805056901966</v>
          </cell>
          <cell r="BQ41">
            <v>3.5039060694309758</v>
          </cell>
          <cell r="BR41">
            <v>4.4303514805055526</v>
          </cell>
          <cell r="BS41">
            <v>4.1611427105161951</v>
          </cell>
          <cell r="BT41">
            <v>3.2982016751519181</v>
          </cell>
          <cell r="BU41">
            <v>3.8651695932837544</v>
          </cell>
          <cell r="BV41">
            <v>-1.1517019902218646</v>
          </cell>
          <cell r="BW41">
            <v>1.476493178685919</v>
          </cell>
          <cell r="BX41">
            <v>3.0383954946152838</v>
          </cell>
          <cell r="BY41">
            <v>2.0336470356501013</v>
          </cell>
          <cell r="BZ41">
            <v>1.1256308540424771</v>
          </cell>
          <cell r="CA41">
            <v>1.3084862681605469</v>
          </cell>
          <cell r="CB41">
            <v>0.58364883594326999</v>
          </cell>
          <cell r="CC41">
            <v>1.4765026933699297</v>
          </cell>
          <cell r="CD41">
            <v>2.8767339572392232</v>
          </cell>
          <cell r="CE41">
            <v>2.6530284654594074</v>
          </cell>
          <cell r="CF41">
            <v>2.6243328942273427</v>
          </cell>
          <cell r="CG41">
            <v>2.6129782840976592</v>
          </cell>
          <cell r="CH41">
            <v>0</v>
          </cell>
          <cell r="CI41">
            <v>0</v>
          </cell>
          <cell r="CJ41">
            <v>0</v>
          </cell>
        </row>
        <row r="42">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row>
        <row r="43">
          <cell r="BM43">
            <v>4.4717705892300996</v>
          </cell>
          <cell r="BN43">
            <v>5.4088428452501933</v>
          </cell>
          <cell r="BO43">
            <v>1.6036680341355258</v>
          </cell>
          <cell r="BP43">
            <v>1.7985922183357075</v>
          </cell>
          <cell r="BQ43">
            <v>1.2026215877998514</v>
          </cell>
          <cell r="BR43">
            <v>1.9595925724106327</v>
          </cell>
          <cell r="BS43">
            <v>3.2251433739645181</v>
          </cell>
          <cell r="BT43">
            <v>3.2542713767971647</v>
          </cell>
          <cell r="BU43">
            <v>3.1098758915479516</v>
          </cell>
          <cell r="BV43">
            <v>0.72990120410133252</v>
          </cell>
          <cell r="BW43">
            <v>1.3696775843138806</v>
          </cell>
          <cell r="BX43">
            <v>2.6033174795508196</v>
          </cell>
          <cell r="BY43">
            <v>2.6821749684497709</v>
          </cell>
          <cell r="BZ43">
            <v>2.24187038587004</v>
          </cell>
          <cell r="CA43">
            <v>2.8414932566060651</v>
          </cell>
          <cell r="CB43">
            <v>2.5764319656541588</v>
          </cell>
          <cell r="CC43">
            <v>3.074371159413761</v>
          </cell>
          <cell r="CD43">
            <v>3.4717644332045099</v>
          </cell>
          <cell r="CE43">
            <v>3.7017027875064659</v>
          </cell>
          <cell r="CF43">
            <v>3.4917097964843631</v>
          </cell>
          <cell r="CG43">
            <v>3.4308959463547928</v>
          </cell>
          <cell r="CH43">
            <v>0</v>
          </cell>
          <cell r="CI43">
            <v>0</v>
          </cell>
          <cell r="CJ43">
            <v>0</v>
          </cell>
        </row>
        <row r="44">
          <cell r="BM44">
            <v>2.4563278991229001</v>
          </cell>
          <cell r="BN44">
            <v>3.718283139672736</v>
          </cell>
          <cell r="BO44">
            <v>2.1240111573460485</v>
          </cell>
          <cell r="BP44">
            <v>2.4044596682114125</v>
          </cell>
          <cell r="BQ44">
            <v>4.8009444480881216</v>
          </cell>
          <cell r="BR44">
            <v>1.6125331163819459</v>
          </cell>
          <cell r="BS44">
            <v>1.759392321905149</v>
          </cell>
          <cell r="BT44">
            <v>4.0887283878386773</v>
          </cell>
          <cell r="BU44">
            <v>4.338401268683036</v>
          </cell>
          <cell r="BV44">
            <v>1.4416332293059804</v>
          </cell>
          <cell r="BW44">
            <v>-0.22657827434268196</v>
          </cell>
          <cell r="BX44">
            <v>2.9362203774920506</v>
          </cell>
          <cell r="BY44">
            <v>2.4768869471228001</v>
          </cell>
          <cell r="BZ44">
            <v>2.6734176334207786</v>
          </cell>
          <cell r="CA44">
            <v>2.8820491528942127</v>
          </cell>
          <cell r="CB44">
            <v>3.521503056146539</v>
          </cell>
          <cell r="CC44">
            <v>1.909389521063064</v>
          </cell>
          <cell r="CD44">
            <v>1.4188423848896419</v>
          </cell>
          <cell r="CE44">
            <v>3.6862479270188473</v>
          </cell>
          <cell r="CF44">
            <v>3.9703942065045683</v>
          </cell>
          <cell r="CG44">
            <v>3.9203739065988779</v>
          </cell>
          <cell r="CH44">
            <v>0</v>
          </cell>
          <cell r="CI44">
            <v>0</v>
          </cell>
          <cell r="CJ44">
            <v>0</v>
          </cell>
        </row>
        <row r="45">
          <cell r="BM45">
            <v>3.058801177923439</v>
          </cell>
          <cell r="BN45">
            <v>4.0418471748548113</v>
          </cell>
          <cell r="BO45">
            <v>0.94352159468438845</v>
          </cell>
          <cell r="BP45">
            <v>3.067403896787777</v>
          </cell>
          <cell r="BQ45">
            <v>4.7941414399455127</v>
          </cell>
          <cell r="BR45">
            <v>0.16251574371264904</v>
          </cell>
          <cell r="BS45">
            <v>0.53543179329091617</v>
          </cell>
          <cell r="BT45">
            <v>4.3446842848496603</v>
          </cell>
          <cell r="BU45">
            <v>5.5352618124858344</v>
          </cell>
          <cell r="BV45">
            <v>-1.2858443540276348</v>
          </cell>
          <cell r="BW45">
            <v>-0.88704050121740785</v>
          </cell>
          <cell r="BX45">
            <v>3.5294368771628983</v>
          </cell>
          <cell r="BY45">
            <v>1.9411203618331603</v>
          </cell>
          <cell r="BZ45">
            <v>1.190808632156156</v>
          </cell>
          <cell r="CA45">
            <v>3.1891291609933785</v>
          </cell>
          <cell r="CB45">
            <v>3.0444538309431257</v>
          </cell>
          <cell r="CC45">
            <v>5.7051424109000022E-3</v>
          </cell>
          <cell r="CD45">
            <v>0.10134458908003888</v>
          </cell>
          <cell r="CE45">
            <v>3.100275158277717</v>
          </cell>
          <cell r="CF45">
            <v>3.9271687199664647</v>
          </cell>
          <cell r="CG45">
            <v>3.6924334702322343</v>
          </cell>
          <cell r="CH45">
            <v>0</v>
          </cell>
          <cell r="CI45">
            <v>0</v>
          </cell>
          <cell r="CJ45">
            <v>0</v>
          </cell>
        </row>
        <row r="46">
          <cell r="BM46">
            <v>2.0776761914252226</v>
          </cell>
          <cell r="BN46">
            <v>2.8505186089078753</v>
          </cell>
          <cell r="BO46">
            <v>3.7372754668628243</v>
          </cell>
          <cell r="BP46">
            <v>1.5371242966284129</v>
          </cell>
          <cell r="BQ46">
            <v>4.4559585492227853</v>
          </cell>
          <cell r="BR46">
            <v>3.3298826777087371</v>
          </cell>
          <cell r="BS46">
            <v>3.3582401068625889</v>
          </cell>
          <cell r="BT46">
            <v>3.5106520466064972</v>
          </cell>
          <cell r="BU46">
            <v>3.5136114254701449</v>
          </cell>
          <cell r="BV46">
            <v>4.0491084057332953</v>
          </cell>
          <cell r="BW46">
            <v>1.0366959764748611</v>
          </cell>
          <cell r="BX46">
            <v>2.0397121621185641</v>
          </cell>
          <cell r="BY46">
            <v>3.1148375644202857</v>
          </cell>
          <cell r="BZ46">
            <v>4.271510383335932</v>
          </cell>
          <cell r="CA46">
            <v>2.4579912534747383</v>
          </cell>
          <cell r="CB46">
            <v>4.2802443183729917</v>
          </cell>
          <cell r="CC46">
            <v>4.2154522690878071</v>
          </cell>
          <cell r="CD46">
            <v>3.6908912000060705</v>
          </cell>
          <cell r="CE46">
            <v>4.4668308313138443</v>
          </cell>
          <cell r="CF46">
            <v>4.0160657913104183</v>
          </cell>
          <cell r="CG46">
            <v>4.1610074906256873</v>
          </cell>
          <cell r="CH46">
            <v>0</v>
          </cell>
          <cell r="CI46">
            <v>0</v>
          </cell>
          <cell r="CJ46">
            <v>0</v>
          </cell>
        </row>
        <row r="47">
          <cell r="BM47">
            <v>3.9674747627318983</v>
          </cell>
          <cell r="BN47">
            <v>4.7119784982687323</v>
          </cell>
          <cell r="BO47">
            <v>5.5243380737657599</v>
          </cell>
          <cell r="BP47">
            <v>2.7742472717710207</v>
          </cell>
          <cell r="BQ47">
            <v>3.918976545842217</v>
          </cell>
          <cell r="BR47">
            <v>2.7801715294021285</v>
          </cell>
          <cell r="BS47">
            <v>2.9505120475914923</v>
          </cell>
          <cell r="BT47">
            <v>4.3275678191231437</v>
          </cell>
          <cell r="BU47">
            <v>5.1719270216013058</v>
          </cell>
          <cell r="BV47">
            <v>1.1878857111753653</v>
          </cell>
          <cell r="BW47">
            <v>-9.4869535177704745E-2</v>
          </cell>
          <cell r="BX47">
            <v>0.49334600860161565</v>
          </cell>
          <cell r="BY47">
            <v>2.303016744927016</v>
          </cell>
          <cell r="BZ47">
            <v>1.5355376192603298</v>
          </cell>
          <cell r="CA47">
            <v>3.5165051954861726</v>
          </cell>
          <cell r="CB47">
            <v>1.2489929172557943</v>
          </cell>
          <cell r="CC47">
            <v>2.5098015905924211</v>
          </cell>
          <cell r="CD47">
            <v>3.5969153893440011</v>
          </cell>
          <cell r="CE47">
            <v>2.79341592019296</v>
          </cell>
          <cell r="CF47">
            <v>2.6332530561784266</v>
          </cell>
          <cell r="CG47">
            <v>2.6088846995162478</v>
          </cell>
          <cell r="CH47">
            <v>0</v>
          </cell>
          <cell r="CI47">
            <v>0</v>
          </cell>
          <cell r="CJ47">
            <v>0</v>
          </cell>
        </row>
        <row r="48">
          <cell r="BM48">
            <v>6.52626521460604</v>
          </cell>
          <cell r="BN48">
            <v>9.9977448695782591</v>
          </cell>
          <cell r="BO48">
            <v>3.2665892161552788</v>
          </cell>
          <cell r="BP48">
            <v>1.0125074449076763</v>
          </cell>
          <cell r="BQ48">
            <v>-0.71737421383646238</v>
          </cell>
          <cell r="BR48">
            <v>0.63017585535650678</v>
          </cell>
          <cell r="BS48">
            <v>2.2852459016393341</v>
          </cell>
          <cell r="BT48">
            <v>3.137737602974664</v>
          </cell>
          <cell r="BU48">
            <v>1.8438967325835074</v>
          </cell>
          <cell r="BV48">
            <v>1.3116902259044219</v>
          </cell>
          <cell r="BW48">
            <v>-0.67658664417604275</v>
          </cell>
          <cell r="BX48">
            <v>1.5749803332162717</v>
          </cell>
          <cell r="BY48">
            <v>3.2156475900557</v>
          </cell>
          <cell r="BZ48">
            <v>3.7395764513131833</v>
          </cell>
          <cell r="CA48">
            <v>4.7065879684002452</v>
          </cell>
          <cell r="CB48">
            <v>5.4258270839175253</v>
          </cell>
          <cell r="CC48">
            <v>6.3044548496943094</v>
          </cell>
          <cell r="CD48">
            <v>6.2851802002352599</v>
          </cell>
          <cell r="CE48">
            <v>6.0255611377622209</v>
          </cell>
          <cell r="CF48">
            <v>5.7931015707685622</v>
          </cell>
          <cell r="CG48">
            <v>5.6195933436220518</v>
          </cell>
          <cell r="CH48">
            <v>0</v>
          </cell>
          <cell r="CI48">
            <v>0</v>
          </cell>
          <cell r="CJ48">
            <v>0</v>
          </cell>
        </row>
        <row r="49">
          <cell r="BM49">
            <v>7.0271957548090018</v>
          </cell>
          <cell r="BN49">
            <v>10.627050674444034</v>
          </cell>
          <cell r="BO49">
            <v>3.8227055528093663</v>
          </cell>
          <cell r="BP49">
            <v>0.11426757657512947</v>
          </cell>
          <cell r="BQ49">
            <v>-0.25680859833231207</v>
          </cell>
          <cell r="BR49">
            <v>0.30514939605846964</v>
          </cell>
          <cell r="BS49">
            <v>1.5306122448979724</v>
          </cell>
          <cell r="BT49">
            <v>3.8661943256655853</v>
          </cell>
          <cell r="BU49">
            <v>4.1455702003354116</v>
          </cell>
          <cell r="BV49">
            <v>3.2353701564233091</v>
          </cell>
          <cell r="BW49">
            <v>-0.11428641702159054</v>
          </cell>
          <cell r="BX49">
            <v>2.3099734621536254</v>
          </cell>
          <cell r="BY49">
            <v>4.1138938445435587</v>
          </cell>
          <cell r="BZ49">
            <v>4.4844478232521574</v>
          </cell>
          <cell r="CA49">
            <v>5.5079831399302996</v>
          </cell>
          <cell r="CB49">
            <v>6.10915419959671</v>
          </cell>
          <cell r="CC49">
            <v>6.6417031261018122</v>
          </cell>
          <cell r="CD49">
            <v>6.5026822405226534</v>
          </cell>
          <cell r="CE49">
            <v>6.3950589460329068</v>
          </cell>
          <cell r="CF49">
            <v>6.0347303797417577</v>
          </cell>
          <cell r="CG49">
            <v>5.8284815015203435</v>
          </cell>
          <cell r="CH49">
            <v>0</v>
          </cell>
          <cell r="CI49">
            <v>0</v>
          </cell>
        </row>
        <row r="50">
          <cell r="BM50">
            <v>5.8083898965172098</v>
          </cell>
          <cell r="BN50">
            <v>10.232411399726569</v>
          </cell>
          <cell r="BO50">
            <v>4.3026140049608763</v>
          </cell>
          <cell r="BP50">
            <v>3.0488734412627602E-2</v>
          </cell>
          <cell r="BQ50">
            <v>-0.5669176140693144</v>
          </cell>
          <cell r="BR50">
            <v>0.1747233546884184</v>
          </cell>
          <cell r="BS50">
            <v>2.0318237454100259</v>
          </cell>
          <cell r="BT50">
            <v>2.8651031669865814</v>
          </cell>
          <cell r="BU50">
            <v>2.8134360602857087</v>
          </cell>
          <cell r="BV50">
            <v>2.1064911767783507</v>
          </cell>
          <cell r="BW50">
            <v>-0.16124566301654247</v>
          </cell>
          <cell r="BX50">
            <v>1.2581952654738686</v>
          </cell>
          <cell r="BY50">
            <v>2.8191207925404953</v>
          </cell>
          <cell r="BZ50">
            <v>3.4942109597137385</v>
          </cell>
          <cell r="CA50">
            <v>4.5642205505968318</v>
          </cell>
          <cell r="CB50">
            <v>5.2902979232108853</v>
          </cell>
          <cell r="CC50">
            <v>6.484666607575738</v>
          </cell>
          <cell r="CD50">
            <v>6.5177223440706564</v>
          </cell>
          <cell r="CE50">
            <v>6.102308136530751</v>
          </cell>
          <cell r="CF50">
            <v>5.8896337938881258</v>
          </cell>
          <cell r="CG50">
            <v>5.6998445200698784</v>
          </cell>
          <cell r="CH50">
            <v>0</v>
          </cell>
          <cell r="CI50">
            <v>0</v>
          </cell>
        </row>
        <row r="51">
          <cell r="BM51">
            <v>6.6982078853046296</v>
          </cell>
          <cell r="BN51">
            <v>19.292682271371405</v>
          </cell>
          <cell r="BO51">
            <v>-2.5974318540211949</v>
          </cell>
          <cell r="BP51">
            <v>7.2993038369914691</v>
          </cell>
          <cell r="BQ51">
            <v>-0.71993619727114688</v>
          </cell>
          <cell r="BR51">
            <v>10.267265898087242</v>
          </cell>
          <cell r="BS51">
            <v>12.922343860754507</v>
          </cell>
          <cell r="BT51">
            <v>3.8488605255357182</v>
          </cell>
          <cell r="BU51">
            <v>4.2285751320218061</v>
          </cell>
          <cell r="BV51">
            <v>0.83430484449671138</v>
          </cell>
          <cell r="BW51">
            <v>6.1358031042224797</v>
          </cell>
          <cell r="BX51">
            <v>2.6892728774390484</v>
          </cell>
          <cell r="BY51">
            <v>4.7083890460065314</v>
          </cell>
          <cell r="BZ51">
            <v>6.5548976386947402</v>
          </cell>
          <cell r="CA51">
            <v>3.0113643977547175</v>
          </cell>
          <cell r="CB51">
            <v>7.1523722908178193</v>
          </cell>
          <cell r="CC51">
            <v>5.7911086936080594</v>
          </cell>
          <cell r="CD51">
            <v>2.2476264118655576</v>
          </cell>
          <cell r="CE51">
            <v>1.8441116062577299</v>
          </cell>
          <cell r="CF51">
            <v>4.3564936399748448E-2</v>
          </cell>
          <cell r="CG51">
            <v>0.27858964032382227</v>
          </cell>
          <cell r="CH51">
            <v>0</v>
          </cell>
          <cell r="CI51">
            <v>0</v>
          </cell>
        </row>
        <row r="52">
          <cell r="BM52">
            <v>2.8030602822846857</v>
          </cell>
          <cell r="BN52">
            <v>1.5557836658753943</v>
          </cell>
          <cell r="BO52">
            <v>-1.7088347705233871</v>
          </cell>
          <cell r="BP52">
            <v>-2.8665081303425688</v>
          </cell>
          <cell r="BQ52">
            <v>-2.3291206246278069</v>
          </cell>
          <cell r="BR52">
            <v>-1.8596301063613416</v>
          </cell>
          <cell r="BS52">
            <v>1.8327408276671311</v>
          </cell>
          <cell r="BT52">
            <v>3.8477833514099813</v>
          </cell>
          <cell r="BU52">
            <v>1.1650415724928038</v>
          </cell>
          <cell r="BV52">
            <v>2.6270631151356696</v>
          </cell>
          <cell r="BW52">
            <v>-2.6386884833623796</v>
          </cell>
          <cell r="BX52">
            <v>-0.13554563089746927</v>
          </cell>
          <cell r="BY52">
            <v>2.7490580080791225</v>
          </cell>
          <cell r="BZ52">
            <v>-0.47669244856732168</v>
          </cell>
          <cell r="CA52">
            <v>0.57060362192759584</v>
          </cell>
          <cell r="CB52">
            <v>4.5099436060560345</v>
          </cell>
          <cell r="CC52">
            <v>-1.3828508446310122</v>
          </cell>
          <cell r="CD52">
            <v>-1.0509961532280498</v>
          </cell>
          <cell r="CE52">
            <v>0.84927151557355285</v>
          </cell>
          <cell r="CF52">
            <v>0.88309766271869772</v>
          </cell>
          <cell r="CG52">
            <v>0.9087399774445275</v>
          </cell>
          <cell r="CH52">
            <v>0</v>
          </cell>
          <cell r="CI52">
            <v>0</v>
          </cell>
        </row>
        <row r="53">
          <cell r="BM53">
            <v>1.0252855110008401</v>
          </cell>
          <cell r="BN53">
            <v>-3.6044495810459507</v>
          </cell>
          <cell r="BO53">
            <v>-1.9445485200449431</v>
          </cell>
          <cell r="BP53">
            <v>0.68778418860569557</v>
          </cell>
          <cell r="BQ53">
            <v>-1.3092482258737808</v>
          </cell>
          <cell r="BR53">
            <v>-0.9036376220872151</v>
          </cell>
          <cell r="BS53">
            <v>1.5754142252919914</v>
          </cell>
          <cell r="BT53">
            <v>-1.7270886656224727</v>
          </cell>
          <cell r="BU53">
            <v>-1.7273925263072187</v>
          </cell>
          <cell r="BV53">
            <v>3.6335867958464676</v>
          </cell>
          <cell r="BW53">
            <v>5.3589586215105033E-2</v>
          </cell>
          <cell r="BX53">
            <v>4.4956807954477869</v>
          </cell>
          <cell r="BY53">
            <v>3.9486164016585965</v>
          </cell>
          <cell r="BZ53">
            <v>0.45660464696462522</v>
          </cell>
          <cell r="CA53">
            <v>-2.1064761240168011</v>
          </cell>
          <cell r="CB53">
            <v>-1.270932512401455</v>
          </cell>
          <cell r="CC53">
            <v>0.8074204109773756</v>
          </cell>
          <cell r="CD53">
            <v>-2.0830644215258034</v>
          </cell>
          <cell r="CE53">
            <v>-0.91947041989035683</v>
          </cell>
          <cell r="CF53">
            <v>-0.52989592267972463</v>
          </cell>
          <cell r="CG53">
            <v>-0.36391877193197891</v>
          </cell>
          <cell r="CH53">
            <v>0</v>
          </cell>
          <cell r="CI53">
            <v>0</v>
          </cell>
        </row>
        <row r="54">
          <cell r="BM54">
            <v>5.3944582527846734</v>
          </cell>
          <cell r="BN54">
            <v>0.39304742772294526</v>
          </cell>
          <cell r="BO54">
            <v>-1.8473406414941145</v>
          </cell>
          <cell r="BP54">
            <v>2.7891859949771045</v>
          </cell>
          <cell r="BQ54">
            <v>3.1992871309896929</v>
          </cell>
          <cell r="BR54">
            <v>4.3785861511893565</v>
          </cell>
          <cell r="BS54">
            <v>3.41036451940011</v>
          </cell>
          <cell r="BT54">
            <v>3.210182700247719</v>
          </cell>
          <cell r="BU54">
            <v>5.8351820594104273</v>
          </cell>
          <cell r="BV54">
            <v>-5.5004919696148242</v>
          </cell>
          <cell r="BW54">
            <v>6.845043310875834</v>
          </cell>
          <cell r="BX54">
            <v>7.1346446224837923</v>
          </cell>
          <cell r="BY54">
            <v>3.4038569139185118</v>
          </cell>
          <cell r="BZ54">
            <v>0.11096671779920622</v>
          </cell>
          <cell r="CA54">
            <v>0.37708805071385448</v>
          </cell>
          <cell r="CB54">
            <v>-5.413439302075834</v>
          </cell>
          <cell r="CC54">
            <v>-1.9374195056525334</v>
          </cell>
          <cell r="CD54">
            <v>3.4778464759084908</v>
          </cell>
          <cell r="CE54">
            <v>0.72765472128876996</v>
          </cell>
          <cell r="CF54">
            <v>2.4489483459582058</v>
          </cell>
          <cell r="CG54">
            <v>2.6178089351108507</v>
          </cell>
          <cell r="CH54">
            <v>0</v>
          </cell>
          <cell r="CI54">
            <v>0</v>
          </cell>
        </row>
        <row r="55">
          <cell r="BM55">
            <v>21.02451518477859</v>
          </cell>
          <cell r="BN55">
            <v>-2.0316846051517601</v>
          </cell>
          <cell r="BO55">
            <v>-11.208492778669296</v>
          </cell>
          <cell r="BP55">
            <v>21.013485332962624</v>
          </cell>
          <cell r="BQ55">
            <v>11.976563846286401</v>
          </cell>
          <cell r="BR55">
            <v>16.2665435518621</v>
          </cell>
          <cell r="BS55">
            <v>11.758217515993827</v>
          </cell>
          <cell r="BT55">
            <v>12.269048559020927</v>
          </cell>
          <cell r="BU55">
            <v>13.692398308586288</v>
          </cell>
          <cell r="BV55">
            <v>-24.588327937161093</v>
          </cell>
          <cell r="BW55">
            <v>15.761735099625673</v>
          </cell>
          <cell r="BX55">
            <v>22.22647774507206</v>
          </cell>
          <cell r="BY55">
            <v>5.7872412214806905</v>
          </cell>
          <cell r="BZ55">
            <v>-3.8504579579126994</v>
          </cell>
          <cell r="CA55">
            <v>-3.1953800306132001</v>
          </cell>
          <cell r="CB55">
            <v>-19.259648076419797</v>
          </cell>
          <cell r="CC55">
            <v>-12.504657985373019</v>
          </cell>
          <cell r="CD55">
            <v>10.601813015153482</v>
          </cell>
          <cell r="CE55">
            <v>-0.9527872309216775</v>
          </cell>
          <cell r="CF55">
            <v>8.1824571953445204</v>
          </cell>
          <cell r="CG55">
            <v>9.0044867099204868</v>
          </cell>
          <cell r="CH55">
            <v>0</v>
          </cell>
          <cell r="CI55">
            <v>0</v>
          </cell>
        </row>
        <row r="56">
          <cell r="BM56">
            <v>4.4538402278875679</v>
          </cell>
          <cell r="BN56">
            <v>5.0443373411316843</v>
          </cell>
          <cell r="BO56">
            <v>4.1506106720658353</v>
          </cell>
          <cell r="BP56">
            <v>2.9363810240491244</v>
          </cell>
          <cell r="BQ56">
            <v>6.762210816491308</v>
          </cell>
          <cell r="BR56">
            <v>2.8716529479735566</v>
          </cell>
          <cell r="BS56">
            <v>10.06212558242734</v>
          </cell>
          <cell r="BT56">
            <v>6.8170421328495028</v>
          </cell>
          <cell r="BU56">
            <v>3.4982905463705194</v>
          </cell>
          <cell r="BV56">
            <v>4.1517658971774445</v>
          </cell>
          <cell r="BW56">
            <v>2.528349401760321</v>
          </cell>
          <cell r="BX56">
            <v>2.4975485037655107</v>
          </cell>
          <cell r="BY56">
            <v>1.5565708709352173</v>
          </cell>
          <cell r="BZ56">
            <v>3.8392776675528797</v>
          </cell>
          <cell r="CA56">
            <v>6.2679182367254445</v>
          </cell>
          <cell r="CB56">
            <v>4.0630109196640598</v>
          </cell>
          <cell r="CC56">
            <v>3.2388593471718115</v>
          </cell>
          <cell r="CD56">
            <v>2.4761715502605943</v>
          </cell>
          <cell r="CE56">
            <v>3.5133509666623</v>
          </cell>
          <cell r="CF56">
            <v>3.1531896073344412</v>
          </cell>
          <cell r="CG56">
            <v>2.8659275169588549</v>
          </cell>
          <cell r="CH56">
            <v>0</v>
          </cell>
          <cell r="CI56">
            <v>0</v>
          </cell>
        </row>
        <row r="57">
          <cell r="BM57">
            <v>-1.3845158507655875</v>
          </cell>
          <cell r="BN57">
            <v>-1.9375437368789499</v>
          </cell>
          <cell r="BO57">
            <v>0.27652647071945247</v>
          </cell>
          <cell r="BP57">
            <v>1.2854156473780181</v>
          </cell>
          <cell r="BQ57">
            <v>2.854382575092214</v>
          </cell>
          <cell r="BR57">
            <v>2.0835112287592992</v>
          </cell>
          <cell r="BS57">
            <v>2.450857381848595</v>
          </cell>
          <cell r="BT57">
            <v>1.6288373612018372</v>
          </cell>
          <cell r="BU57">
            <v>1.8325366539465748</v>
          </cell>
          <cell r="BV57">
            <v>1.0539536377159138</v>
          </cell>
          <cell r="BW57">
            <v>2.8743012834524868</v>
          </cell>
          <cell r="BX57">
            <v>0.47998937572926231</v>
          </cell>
          <cell r="BY57">
            <v>1.3324522067500448</v>
          </cell>
          <cell r="BZ57">
            <v>-1.9358577332573068</v>
          </cell>
          <cell r="CA57">
            <v>0.6904144196593478</v>
          </cell>
          <cell r="CB57">
            <v>2.2513700964398402</v>
          </cell>
          <cell r="CC57">
            <v>1.0387246224463627</v>
          </cell>
          <cell r="CD57">
            <v>5.7249903627931566E-2</v>
          </cell>
          <cell r="CE57">
            <v>0.74198893403273025</v>
          </cell>
          <cell r="CF57">
            <v>0.6708038752499822</v>
          </cell>
          <cell r="CG57">
            <v>0.70588299669475352</v>
          </cell>
          <cell r="CH57">
            <v>0</v>
          </cell>
          <cell r="CI57">
            <v>0</v>
          </cell>
        </row>
        <row r="58">
          <cell r="BM58">
            <v>2.1640865634625075</v>
          </cell>
          <cell r="BN58">
            <v>1.2333594361785705</v>
          </cell>
          <cell r="BO58">
            <v>2.1929994198413945</v>
          </cell>
          <cell r="BP58">
            <v>2.9293770342896286</v>
          </cell>
          <cell r="BQ58">
            <v>1.5737608471834204</v>
          </cell>
          <cell r="BR58">
            <v>3.7648421662322571</v>
          </cell>
          <cell r="BS58">
            <v>3.5200948925481432</v>
          </cell>
          <cell r="BT58">
            <v>2.6025005897617302</v>
          </cell>
          <cell r="BU58">
            <v>5.0067268315178346</v>
          </cell>
          <cell r="BV58">
            <v>4.0398754439771745</v>
          </cell>
          <cell r="BW58">
            <v>2.714614197735008</v>
          </cell>
          <cell r="BX58">
            <v>0.59829077341375603</v>
          </cell>
          <cell r="BY58">
            <v>0.17548101613137809</v>
          </cell>
          <cell r="BZ58">
            <v>-9.5559809112401584E-3</v>
          </cell>
          <cell r="CA58">
            <v>-0.73933759975554247</v>
          </cell>
          <cell r="CB58">
            <v>0.53182694392797758</v>
          </cell>
          <cell r="CC58">
            <v>-4.0113388731331169E-2</v>
          </cell>
          <cell r="CD58">
            <v>-1.2923289005462577</v>
          </cell>
          <cell r="CE58">
            <v>1.3028524893102555</v>
          </cell>
          <cell r="CF58">
            <v>0.45572267457951904</v>
          </cell>
          <cell r="CG58">
            <v>0.35563001026987417</v>
          </cell>
          <cell r="CH58">
            <v>0</v>
          </cell>
          <cell r="CI58">
            <v>0</v>
          </cell>
        </row>
        <row r="59">
          <cell r="BM59">
            <v>4.221061792863348</v>
          </cell>
          <cell r="BN59">
            <v>4.1840040313872349</v>
          </cell>
          <cell r="BO59">
            <v>3.0209643316150827</v>
          </cell>
          <cell r="BP59">
            <v>3.629924745462624</v>
          </cell>
          <cell r="BQ59">
            <v>1.8394107672193829</v>
          </cell>
          <cell r="BR59">
            <v>2.5510333782444041</v>
          </cell>
          <cell r="BS59">
            <v>2.5272368959234188</v>
          </cell>
          <cell r="BT59">
            <v>2.5216150870406384</v>
          </cell>
          <cell r="BU59">
            <v>4.2426657208203116</v>
          </cell>
          <cell r="BV59">
            <v>4.8396388802260022</v>
          </cell>
          <cell r="BW59">
            <v>0.99027495421456324</v>
          </cell>
          <cell r="BX59">
            <v>0.3671468475210754</v>
          </cell>
          <cell r="BY59">
            <v>1.9292066107609127</v>
          </cell>
          <cell r="BZ59">
            <v>2.8084561026198069</v>
          </cell>
          <cell r="CA59">
            <v>4.4647065420196137</v>
          </cell>
          <cell r="CB59">
            <v>0.54138077964045916</v>
          </cell>
          <cell r="CC59">
            <v>0.8615488769070675</v>
          </cell>
          <cell r="CD59">
            <v>2.5958963175839487</v>
          </cell>
          <cell r="CE59">
            <v>3.2059106842899578</v>
          </cell>
          <cell r="CF59">
            <v>3.2105328941578715</v>
          </cell>
          <cell r="CG59">
            <v>3.1921777415392936</v>
          </cell>
          <cell r="CH59">
            <v>0</v>
          </cell>
          <cell r="CI59">
            <v>0</v>
          </cell>
        </row>
        <row r="60">
          <cell r="BM60">
            <v>4.3998618102852678</v>
          </cell>
          <cell r="BN60">
            <v>5.3655423452383655</v>
          </cell>
          <cell r="BO60">
            <v>1.6510756668237117</v>
          </cell>
          <cell r="BP60">
            <v>1.9067375808266913</v>
          </cell>
          <cell r="BQ60">
            <v>1.3751434696927238</v>
          </cell>
          <cell r="BR60">
            <v>2.0806630778432749</v>
          </cell>
          <cell r="BS60">
            <v>2.9192650567111706</v>
          </cell>
          <cell r="BT60">
            <v>3.1471503222789234</v>
          </cell>
          <cell r="BU60">
            <v>3.3473490403873103</v>
          </cell>
          <cell r="BV60">
            <v>0.54988977980186238</v>
          </cell>
          <cell r="BW60">
            <v>1.8110350039722709</v>
          </cell>
          <cell r="BX60">
            <v>3.0022442768146513</v>
          </cell>
          <cell r="BY60">
            <v>2.9349606511441975</v>
          </cell>
          <cell r="BZ60">
            <v>2.1205149829632965</v>
          </cell>
          <cell r="CA60">
            <v>2.5608893985711161</v>
          </cell>
          <cell r="CB60">
            <v>2.2259314928147509</v>
          </cell>
          <cell r="CC60">
            <v>2.7613933450023298</v>
          </cell>
          <cell r="CD60">
            <v>3.3348226578977069</v>
          </cell>
          <cell r="CE60">
            <v>3.7769303372324163</v>
          </cell>
          <cell r="CF60">
            <v>3.5449774310585616</v>
          </cell>
          <cell r="CG60">
            <v>3.4825000303675662</v>
          </cell>
          <cell r="CH60">
            <v>0</v>
          </cell>
          <cell r="CI60">
            <v>0</v>
          </cell>
        </row>
        <row r="61">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row>
        <row r="62">
          <cell r="BM62">
            <v>3.6495808916252539</v>
          </cell>
          <cell r="BN62">
            <v>4.064982466184798</v>
          </cell>
          <cell r="BO62">
            <v>2.3542626596061562</v>
          </cell>
          <cell r="BP62">
            <v>2.3225083986562112</v>
          </cell>
          <cell r="BQ62">
            <v>2.60030205528926</v>
          </cell>
          <cell r="BR62">
            <v>3.7141333333333164</v>
          </cell>
          <cell r="BS62">
            <v>3.8588119137732706</v>
          </cell>
          <cell r="BT62">
            <v>3.3469460508595263</v>
          </cell>
          <cell r="BU62">
            <v>3.3955042683349825</v>
          </cell>
          <cell r="BV62">
            <v>-0.31045090816620768</v>
          </cell>
          <cell r="BW62">
            <v>1.2536282486909365</v>
          </cell>
          <cell r="BX62">
            <v>2.6494035316566706</v>
          </cell>
          <cell r="BY62">
            <v>2.2429031200942027</v>
          </cell>
          <cell r="BZ62">
            <v>1.4559120182373888</v>
          </cell>
          <cell r="CA62">
            <v>1.8345402768020418</v>
          </cell>
          <cell r="CB62">
            <v>1.4551261318165163</v>
          </cell>
          <cell r="CC62">
            <v>2.2806888701208021</v>
          </cell>
          <cell r="CD62">
            <v>3.0474558761930979</v>
          </cell>
          <cell r="CE62">
            <v>2.9337178577587326</v>
          </cell>
          <cell r="CF62">
            <v>2.8923243065793911</v>
          </cell>
          <cell r="CG62">
            <v>2.858173351919282</v>
          </cell>
          <cell r="CH62">
            <v>0</v>
          </cell>
          <cell r="CI62">
            <v>0</v>
          </cell>
        </row>
        <row r="63">
          <cell r="BM63">
            <v>3.2620022630785885</v>
          </cell>
          <cell r="BN63">
            <v>3.6334940775028106</v>
          </cell>
          <cell r="BO63">
            <v>2.7256081239111869</v>
          </cell>
          <cell r="BP63">
            <v>1.6175207681892596</v>
          </cell>
          <cell r="BQ63">
            <v>2.1096994291697171</v>
          </cell>
          <cell r="BR63">
            <v>3.0921577649561396</v>
          </cell>
          <cell r="BS63">
            <v>3.4246555941544319</v>
          </cell>
          <cell r="BT63">
            <v>2.98178580063994</v>
          </cell>
          <cell r="BU63">
            <v>2.4651517972136707</v>
          </cell>
          <cell r="BV63">
            <v>1.3057764581300257</v>
          </cell>
          <cell r="BW63">
            <v>0.51459740073413107</v>
          </cell>
          <cell r="BX63">
            <v>1.3224371907877017</v>
          </cell>
          <cell r="BY63">
            <v>2.1071576300101129</v>
          </cell>
          <cell r="BZ63">
            <v>1.6151018303595783</v>
          </cell>
          <cell r="CA63">
            <v>2.0756916720872431</v>
          </cell>
          <cell r="CB63">
            <v>2.3508497615591377</v>
          </cell>
          <cell r="CC63">
            <v>3.2168423816522287</v>
          </cell>
          <cell r="CD63">
            <v>3.0413218612227797</v>
          </cell>
          <cell r="CE63">
            <v>3.0445588055863357</v>
          </cell>
          <cell r="CF63">
            <v>2.6253279465470607</v>
          </cell>
          <cell r="CG63">
            <v>2.5675544870389713</v>
          </cell>
          <cell r="CH63">
            <v>0</v>
          </cell>
          <cell r="CI63">
            <v>0</v>
          </cell>
        </row>
        <row r="64">
          <cell r="BM64">
            <v>19.775739041794068</v>
          </cell>
          <cell r="BN64">
            <v>-0.54337152209492334</v>
          </cell>
          <cell r="BO64">
            <v>-6.3191153238546818</v>
          </cell>
          <cell r="BP64">
            <v>20.882518268690305</v>
          </cell>
          <cell r="BQ64">
            <v>15.0430132527319</v>
          </cell>
          <cell r="BR64">
            <v>15.647736459175446</v>
          </cell>
          <cell r="BS64">
            <v>12.918869325877051</v>
          </cell>
          <cell r="BT64">
            <v>8.923895380329661</v>
          </cell>
          <cell r="BU64">
            <v>14.654913050258097</v>
          </cell>
          <cell r="BV64">
            <v>-23.82896934431577</v>
          </cell>
          <cell r="BW64">
            <v>15.393650939555339</v>
          </cell>
          <cell r="BX64">
            <v>23.276037391162461</v>
          </cell>
          <cell r="BY64">
            <v>5.8198749683703976</v>
          </cell>
          <cell r="BZ64">
            <v>-3.3038049037763675</v>
          </cell>
          <cell r="CA64">
            <v>-4.0468705903391848</v>
          </cell>
          <cell r="CB64">
            <v>-15.88777507956557</v>
          </cell>
          <cell r="CC64">
            <v>-14.222223453207869</v>
          </cell>
          <cell r="CD64">
            <v>10.44949717292095</v>
          </cell>
          <cell r="CE64">
            <v>-0.73611643979737285</v>
          </cell>
          <cell r="CF64">
            <v>8.062986629012233</v>
          </cell>
          <cell r="CG64">
            <v>9.0023641033392483</v>
          </cell>
          <cell r="CH64">
            <v>0</v>
          </cell>
          <cell r="CI64">
            <v>0</v>
          </cell>
        </row>
        <row r="65">
          <cell r="BM65">
            <v>3.5648243271008822</v>
          </cell>
          <cell r="BN65">
            <v>3.9976192838012112</v>
          </cell>
          <cell r="BO65">
            <v>2.4084318962228211</v>
          </cell>
          <cell r="BP65">
            <v>2.6568248498113727</v>
          </cell>
          <cell r="BQ65">
            <v>2.8058157733572267</v>
          </cell>
          <cell r="BR65">
            <v>3.7287088518224292</v>
          </cell>
          <cell r="BS65">
            <v>3.6988982005360271</v>
          </cell>
          <cell r="BT65">
            <v>3.3169651098393942</v>
          </cell>
          <cell r="BU65">
            <v>3.7037037037036771</v>
          </cell>
          <cell r="BV65">
            <v>-0.62309900052987999</v>
          </cell>
          <cell r="BW65">
            <v>1.5816930006048817</v>
          </cell>
          <cell r="BX65">
            <v>3.0269710983579756</v>
          </cell>
          <cell r="BY65">
            <v>2.3176141992386179</v>
          </cell>
          <cell r="BZ65">
            <v>1.4408529262130436</v>
          </cell>
          <cell r="CA65">
            <v>1.7079335398095672</v>
          </cell>
          <cell r="CB65">
            <v>1.112004254540067</v>
          </cell>
          <cell r="CC65">
            <v>1.8943496129560244</v>
          </cell>
          <cell r="CD65">
            <v>3.0269398879222256</v>
          </cell>
          <cell r="CE65">
            <v>3.0227500462834285</v>
          </cell>
          <cell r="CF65">
            <v>2.9294040174637317</v>
          </cell>
          <cell r="CG65">
            <v>2.9028321841702636</v>
          </cell>
          <cell r="CH65">
            <v>0</v>
          </cell>
          <cell r="CI65">
            <v>0</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71">
          <cell r="H71">
            <v>0.01</v>
          </cell>
        </row>
      </sheetData>
      <sheetData sheetId="42"/>
      <sheetData sheetId="43">
        <row r="71">
          <cell r="H71">
            <v>0.03</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xhibit 1"/>
      <sheetName val="Exhibit 2.1.1"/>
      <sheetName val="Exhibit 2.1.2"/>
      <sheetName val="Exhibit 2.2.1"/>
      <sheetName val="Exhibit 2.2.2"/>
      <sheetName val="Exhibit 2.3.1"/>
      <sheetName val="Exhibit 2.3.2"/>
      <sheetName val="Exhibit 2.4.1"/>
      <sheetName val="Exhibit 2.4.2"/>
      <sheetName val="Exhibit 2.5.1"/>
      <sheetName val="Exhibit 2.5.2"/>
      <sheetName val="Exhibit 2.6.1"/>
      <sheetName val="Exhibit 2.6.2"/>
      <sheetName val="Exhibit 3.1"/>
      <sheetName val="Exhibit 3.2"/>
      <sheetName val="Exhibit 4.1"/>
      <sheetName val="Exhibit 4.2"/>
      <sheetName val="Exhibit 4.3"/>
      <sheetName val="Exhibit 4.4"/>
      <sheetName val="Exhibit 5.1"/>
      <sheetName val="Exhibit 5.2"/>
      <sheetName val="Exhibit 6.1"/>
      <sheetName val="Exhibit 6.2"/>
      <sheetName val="Exhibit 6.3"/>
      <sheetName val="Exhibit 6.4"/>
      <sheetName val="Exhibit 7.1"/>
      <sheetName val="Exhibit 7.2"/>
      <sheetName val="Exhibit 7.3"/>
      <sheetName val="Exhibit 7.4"/>
      <sheetName val="Exhibit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8">
          <cell r="L38">
            <v>2.5000000000000001E-2</v>
          </cell>
        </row>
      </sheetData>
      <sheetData sheetId="25"/>
      <sheetData sheetId="26">
        <row r="43">
          <cell r="A43">
            <v>42826</v>
          </cell>
        </row>
      </sheetData>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48"/>
  <sheetViews>
    <sheetView tabSelected="1" zoomScaleNormal="100" zoomScaleSheetLayoutView="100" workbookViewId="0"/>
  </sheetViews>
  <sheetFormatPr defaultColWidth="9.140625" defaultRowHeight="12.75"/>
  <cols>
    <col min="1" max="1" width="8" style="53" customWidth="1"/>
    <col min="2" max="3" width="14" style="53" customWidth="1"/>
    <col min="4" max="4" width="13.85546875" style="53" bestFit="1" customWidth="1"/>
    <col min="5" max="5" width="13.85546875" style="53" customWidth="1"/>
    <col min="6" max="6" width="14" style="53" bestFit="1" customWidth="1"/>
    <col min="7" max="7" width="14.85546875" style="53" bestFit="1" customWidth="1"/>
    <col min="8" max="8" width="14.140625" style="53" customWidth="1"/>
    <col min="9" max="9" width="6.85546875" style="53" customWidth="1"/>
    <col min="10" max="16384" width="9.140625" style="53"/>
  </cols>
  <sheetData>
    <row r="1" spans="1:9" ht="18" customHeight="1">
      <c r="A1" s="139" t="s">
        <v>0</v>
      </c>
      <c r="B1" s="139"/>
      <c r="C1" s="139"/>
      <c r="D1" s="139"/>
      <c r="E1" s="139"/>
      <c r="F1" s="139"/>
      <c r="G1" s="139"/>
      <c r="H1" s="139"/>
      <c r="I1" s="139"/>
    </row>
    <row r="2" spans="1:9" ht="18" customHeight="1">
      <c r="A2" s="139" t="s">
        <v>490</v>
      </c>
      <c r="B2" s="139"/>
      <c r="C2" s="139"/>
      <c r="D2" s="139"/>
      <c r="E2" s="139"/>
      <c r="F2" s="139"/>
      <c r="G2" s="139"/>
      <c r="H2" s="139"/>
      <c r="I2" s="139"/>
    </row>
    <row r="3" spans="1:9" ht="18" customHeight="1">
      <c r="A3" s="181"/>
      <c r="B3" s="181"/>
      <c r="C3" s="181"/>
      <c r="D3" s="181"/>
      <c r="E3" s="181"/>
      <c r="F3" s="181"/>
      <c r="G3" s="181"/>
      <c r="H3" s="181"/>
      <c r="I3" s="2"/>
    </row>
    <row r="4" spans="1:9" ht="18" customHeight="1">
      <c r="A4" s="3"/>
      <c r="B4" s="181" t="s">
        <v>1</v>
      </c>
      <c r="C4" s="181" t="s">
        <v>2</v>
      </c>
      <c r="D4" s="181" t="s">
        <v>3</v>
      </c>
      <c r="E4" s="181" t="s">
        <v>4</v>
      </c>
      <c r="F4" s="181" t="s">
        <v>5</v>
      </c>
      <c r="G4" s="181"/>
      <c r="H4" s="181" t="s">
        <v>6</v>
      </c>
      <c r="I4" s="51" t="s">
        <v>7</v>
      </c>
    </row>
    <row r="5" spans="1:9" ht="15" customHeight="1">
      <c r="A5" s="184" t="s">
        <v>8</v>
      </c>
      <c r="B5" s="184" t="s">
        <v>9</v>
      </c>
      <c r="C5" s="184" t="s">
        <v>3</v>
      </c>
      <c r="D5" s="184" t="s">
        <v>10</v>
      </c>
      <c r="E5" s="184" t="s">
        <v>235</v>
      </c>
      <c r="F5" s="184" t="s">
        <v>10</v>
      </c>
      <c r="G5" s="184" t="s">
        <v>15</v>
      </c>
      <c r="H5" s="184" t="s">
        <v>16</v>
      </c>
      <c r="I5" s="52" t="s">
        <v>11</v>
      </c>
    </row>
    <row r="6" spans="1:9" ht="15" customHeight="1">
      <c r="A6" s="57">
        <f t="shared" ref="A6:A40" si="0">A7-1</f>
        <v>1987</v>
      </c>
      <c r="B6" s="348">
        <v>4373802923</v>
      </c>
      <c r="C6" s="348">
        <v>1509783963</v>
      </c>
      <c r="D6" s="348">
        <v>5592395</v>
      </c>
      <c r="E6" s="348">
        <v>1347173629</v>
      </c>
      <c r="F6" s="348">
        <v>36404858</v>
      </c>
      <c r="G6" s="348">
        <v>14493524</v>
      </c>
      <c r="H6" s="348">
        <v>2913448369</v>
      </c>
      <c r="I6" s="51">
        <f t="shared" ref="I6:I38" si="1">+H6/B6</f>
        <v>0.66611331609830748</v>
      </c>
    </row>
    <row r="7" spans="1:9" ht="15" customHeight="1">
      <c r="A7" s="57">
        <f t="shared" si="0"/>
        <v>1988</v>
      </c>
      <c r="B7" s="348">
        <v>5172689663</v>
      </c>
      <c r="C7" s="348">
        <v>1707469549</v>
      </c>
      <c r="D7" s="348">
        <v>4547176</v>
      </c>
      <c r="E7" s="348">
        <v>1556564284</v>
      </c>
      <c r="F7" s="348">
        <v>18759780</v>
      </c>
      <c r="G7" s="348">
        <v>28145272</v>
      </c>
      <c r="H7" s="348">
        <v>3315486061</v>
      </c>
      <c r="I7" s="51">
        <f t="shared" si="1"/>
        <v>0.64095978630141148</v>
      </c>
    </row>
    <row r="8" spans="1:9" ht="16.350000000000001" customHeight="1">
      <c r="A8" s="57">
        <f t="shared" si="0"/>
        <v>1989</v>
      </c>
      <c r="B8" s="348">
        <v>5675354099</v>
      </c>
      <c r="C8" s="348">
        <v>1943971133</v>
      </c>
      <c r="D8" s="348">
        <v>4702094</v>
      </c>
      <c r="E8" s="348">
        <v>1817165282</v>
      </c>
      <c r="F8" s="348">
        <v>29541531</v>
      </c>
      <c r="G8" s="348">
        <v>36406012</v>
      </c>
      <c r="H8" s="348">
        <v>3831786052</v>
      </c>
      <c r="I8" s="51">
        <f t="shared" si="1"/>
        <v>0.67516246302149896</v>
      </c>
    </row>
    <row r="9" spans="1:9" ht="16.350000000000001" customHeight="1">
      <c r="A9" s="57">
        <f t="shared" si="0"/>
        <v>1990</v>
      </c>
      <c r="B9" s="348">
        <v>5704833514</v>
      </c>
      <c r="C9" s="348">
        <v>2267226508</v>
      </c>
      <c r="D9" s="348">
        <v>4329062</v>
      </c>
      <c r="E9" s="348">
        <v>2062895664</v>
      </c>
      <c r="F9" s="348">
        <v>25718489</v>
      </c>
      <c r="G9" s="348">
        <v>49044281</v>
      </c>
      <c r="H9" s="348">
        <v>4409214004</v>
      </c>
      <c r="I9" s="51">
        <f t="shared" si="1"/>
        <v>0.77289091665506582</v>
      </c>
    </row>
    <row r="10" spans="1:9" ht="16.350000000000001" customHeight="1">
      <c r="A10" s="57">
        <f t="shared" si="0"/>
        <v>1991</v>
      </c>
      <c r="B10" s="348">
        <v>5866830467</v>
      </c>
      <c r="C10" s="348">
        <v>2488103067</v>
      </c>
      <c r="D10" s="348">
        <v>10815405</v>
      </c>
      <c r="E10" s="348">
        <v>2220055589</v>
      </c>
      <c r="F10" s="348">
        <v>27711666</v>
      </c>
      <c r="G10" s="348">
        <v>47657500</v>
      </c>
      <c r="H10" s="348">
        <v>4794343227</v>
      </c>
      <c r="I10" s="51">
        <f t="shared" si="1"/>
        <v>0.81719477901524984</v>
      </c>
    </row>
    <row r="11" spans="1:9" ht="16.350000000000001" customHeight="1">
      <c r="A11" s="57">
        <f t="shared" si="0"/>
        <v>1992</v>
      </c>
      <c r="B11" s="348">
        <v>5685646721</v>
      </c>
      <c r="C11" s="348">
        <v>1985997254</v>
      </c>
      <c r="D11" s="348">
        <v>9014450</v>
      </c>
      <c r="E11" s="348">
        <v>1782330539</v>
      </c>
      <c r="F11" s="348">
        <v>28859732</v>
      </c>
      <c r="G11" s="348">
        <v>39258656</v>
      </c>
      <c r="H11" s="348">
        <v>3845460631</v>
      </c>
      <c r="I11" s="51">
        <f t="shared" si="1"/>
        <v>0.67634533408429121</v>
      </c>
    </row>
    <row r="12" spans="1:9" ht="16.350000000000001" customHeight="1">
      <c r="A12" s="57">
        <f t="shared" si="0"/>
        <v>1993</v>
      </c>
      <c r="B12" s="348">
        <v>5935051898</v>
      </c>
      <c r="C12" s="348">
        <v>1699903018</v>
      </c>
      <c r="D12" s="348">
        <v>7889079</v>
      </c>
      <c r="E12" s="348">
        <v>1529938509</v>
      </c>
      <c r="F12" s="348">
        <v>40452590</v>
      </c>
      <c r="G12" s="348">
        <v>90198736</v>
      </c>
      <c r="H12" s="348">
        <v>3368381932</v>
      </c>
      <c r="I12" s="51">
        <f t="shared" si="1"/>
        <v>0.56754043433640078</v>
      </c>
    </row>
    <row r="13" spans="1:9" ht="16.350000000000001" customHeight="1">
      <c r="A13" s="57">
        <f t="shared" si="0"/>
        <v>1994</v>
      </c>
      <c r="B13" s="348">
        <v>5031286773</v>
      </c>
      <c r="C13" s="348">
        <v>1637130910</v>
      </c>
      <c r="D13" s="348">
        <v>13137820</v>
      </c>
      <c r="E13" s="348">
        <v>1489927745</v>
      </c>
      <c r="F13" s="348">
        <v>52059724</v>
      </c>
      <c r="G13" s="348">
        <v>35184358</v>
      </c>
      <c r="H13" s="348">
        <v>3227440557</v>
      </c>
      <c r="I13" s="51">
        <f t="shared" si="1"/>
        <v>0.6414741799890642</v>
      </c>
    </row>
    <row r="14" spans="1:9" ht="16.350000000000001" customHeight="1">
      <c r="A14" s="57">
        <f t="shared" si="0"/>
        <v>1995</v>
      </c>
      <c r="B14" s="348">
        <v>3789372110</v>
      </c>
      <c r="C14" s="348">
        <v>1776526063</v>
      </c>
      <c r="D14" s="348">
        <v>17748345</v>
      </c>
      <c r="E14" s="348">
        <v>1654731751</v>
      </c>
      <c r="F14" s="348">
        <v>70377737</v>
      </c>
      <c r="G14" s="348">
        <v>37719421</v>
      </c>
      <c r="H14" s="348">
        <v>3557103317</v>
      </c>
      <c r="I14" s="51">
        <f t="shared" si="1"/>
        <v>0.93870520332720764</v>
      </c>
    </row>
    <row r="15" spans="1:9" ht="16.350000000000001" customHeight="1">
      <c r="A15" s="57">
        <f t="shared" si="0"/>
        <v>1996</v>
      </c>
      <c r="B15" s="348">
        <v>3746680214</v>
      </c>
      <c r="C15" s="348">
        <v>1970666406</v>
      </c>
      <c r="D15" s="348">
        <v>22399107</v>
      </c>
      <c r="E15" s="348">
        <v>1752007771</v>
      </c>
      <c r="F15" s="348">
        <v>63595440</v>
      </c>
      <c r="G15" s="348">
        <v>43784410</v>
      </c>
      <c r="H15" s="348">
        <v>3852453134</v>
      </c>
      <c r="I15" s="51">
        <f t="shared" si="1"/>
        <v>1.0282311043266421</v>
      </c>
    </row>
    <row r="16" spans="1:9" ht="16.350000000000001" customHeight="1">
      <c r="A16" s="57">
        <f t="shared" si="0"/>
        <v>1997</v>
      </c>
      <c r="B16" s="348">
        <v>3926898608</v>
      </c>
      <c r="C16" s="348">
        <v>2337837413</v>
      </c>
      <c r="D16" s="348">
        <v>23658005</v>
      </c>
      <c r="E16" s="348">
        <v>2054834629</v>
      </c>
      <c r="F16" s="348">
        <v>68037305</v>
      </c>
      <c r="G16" s="348">
        <v>84509373</v>
      </c>
      <c r="H16" s="348">
        <v>4568876725</v>
      </c>
      <c r="I16" s="51">
        <f t="shared" si="1"/>
        <v>1.1634822237814193</v>
      </c>
    </row>
    <row r="17" spans="1:9" ht="16.350000000000001" customHeight="1">
      <c r="A17" s="57">
        <f t="shared" si="0"/>
        <v>1998</v>
      </c>
      <c r="B17" s="348">
        <v>4332127034</v>
      </c>
      <c r="C17" s="348">
        <v>2794331101</v>
      </c>
      <c r="D17" s="348">
        <v>31161991</v>
      </c>
      <c r="E17" s="348">
        <v>2717651572</v>
      </c>
      <c r="F17" s="348">
        <v>134686354</v>
      </c>
      <c r="G17" s="348">
        <v>172525654</v>
      </c>
      <c r="H17" s="348">
        <v>5850356672</v>
      </c>
      <c r="I17" s="51">
        <f t="shared" si="1"/>
        <v>1.3504582451263363</v>
      </c>
    </row>
    <row r="18" spans="1:9" ht="16.350000000000001" customHeight="1">
      <c r="A18" s="57">
        <f t="shared" si="0"/>
        <v>1999</v>
      </c>
      <c r="B18" s="348">
        <v>4550437880</v>
      </c>
      <c r="C18" s="348">
        <v>3071348974</v>
      </c>
      <c r="D18" s="348">
        <v>31111703</v>
      </c>
      <c r="E18" s="348">
        <v>3106457459</v>
      </c>
      <c r="F18" s="348">
        <v>98422429</v>
      </c>
      <c r="G18" s="348">
        <v>211943685</v>
      </c>
      <c r="H18" s="348">
        <v>6519284250</v>
      </c>
      <c r="I18" s="51">
        <f t="shared" si="1"/>
        <v>1.4326718487144803</v>
      </c>
    </row>
    <row r="19" spans="1:9" ht="16.350000000000001" customHeight="1">
      <c r="A19" s="57">
        <f t="shared" si="0"/>
        <v>2000</v>
      </c>
      <c r="B19" s="348">
        <v>5920961162</v>
      </c>
      <c r="C19" s="348">
        <v>3457431182</v>
      </c>
      <c r="D19" s="348">
        <v>44440039</v>
      </c>
      <c r="E19" s="348">
        <v>3640459477</v>
      </c>
      <c r="F19" s="348">
        <v>133238642</v>
      </c>
      <c r="G19" s="348">
        <v>340205136</v>
      </c>
      <c r="H19" s="348">
        <v>7615774476</v>
      </c>
      <c r="I19" s="51">
        <f t="shared" si="1"/>
        <v>1.2862395593602443</v>
      </c>
    </row>
    <row r="20" spans="1:9" ht="16.350000000000001" customHeight="1">
      <c r="A20" s="57">
        <f t="shared" si="0"/>
        <v>2001</v>
      </c>
      <c r="B20" s="348">
        <v>10108322683</v>
      </c>
      <c r="C20" s="348">
        <v>4889977757</v>
      </c>
      <c r="D20" s="348">
        <v>59063964</v>
      </c>
      <c r="E20" s="348">
        <v>5484008965</v>
      </c>
      <c r="F20" s="348">
        <v>198305705</v>
      </c>
      <c r="G20" s="348">
        <v>575154702</v>
      </c>
      <c r="H20" s="348">
        <v>11206511093</v>
      </c>
      <c r="I20" s="51">
        <f t="shared" si="1"/>
        <v>1.108642001689055</v>
      </c>
    </row>
    <row r="21" spans="1:9" ht="16.350000000000001" customHeight="1">
      <c r="A21" s="57">
        <f t="shared" si="0"/>
        <v>2002</v>
      </c>
      <c r="B21" s="348">
        <v>13309435814</v>
      </c>
      <c r="C21" s="348">
        <v>4795468254</v>
      </c>
      <c r="D21" s="348">
        <v>57404986</v>
      </c>
      <c r="E21" s="348">
        <v>5567435748</v>
      </c>
      <c r="F21" s="348">
        <v>190206173</v>
      </c>
      <c r="G21" s="348">
        <v>798842832</v>
      </c>
      <c r="H21" s="348">
        <v>11409357993</v>
      </c>
      <c r="I21" s="51">
        <f t="shared" si="1"/>
        <v>0.85723828961995996</v>
      </c>
    </row>
    <row r="22" spans="1:9" ht="16.350000000000001" customHeight="1">
      <c r="A22" s="57">
        <f t="shared" si="0"/>
        <v>2003</v>
      </c>
      <c r="B22" s="348">
        <v>19280128929</v>
      </c>
      <c r="C22" s="348">
        <v>4590519223</v>
      </c>
      <c r="D22" s="348">
        <v>95525376</v>
      </c>
      <c r="E22" s="348">
        <v>5155879794</v>
      </c>
      <c r="F22" s="348">
        <v>201764185</v>
      </c>
      <c r="G22" s="348">
        <v>1164331705</v>
      </c>
      <c r="H22" s="348">
        <v>11208020283</v>
      </c>
      <c r="I22" s="51">
        <f t="shared" si="1"/>
        <v>0.58132496542290113</v>
      </c>
    </row>
    <row r="23" spans="1:9" ht="16.350000000000001" customHeight="1">
      <c r="A23" s="57">
        <f t="shared" si="0"/>
        <v>2004</v>
      </c>
      <c r="B23" s="348">
        <v>23014791568</v>
      </c>
      <c r="C23" s="348">
        <v>3253459848</v>
      </c>
      <c r="D23" s="348">
        <v>86767261</v>
      </c>
      <c r="E23" s="348">
        <v>4149774175</v>
      </c>
      <c r="F23" s="348">
        <v>182618305</v>
      </c>
      <c r="G23" s="348">
        <v>1272891122</v>
      </c>
      <c r="H23" s="348">
        <v>8945510711</v>
      </c>
      <c r="I23" s="51">
        <f t="shared" si="1"/>
        <v>0.38868528027157667</v>
      </c>
    </row>
    <row r="24" spans="1:9" ht="16.350000000000001" customHeight="1">
      <c r="A24" s="57">
        <f t="shared" si="0"/>
        <v>2005</v>
      </c>
      <c r="B24" s="348">
        <v>21384360071</v>
      </c>
      <c r="C24" s="348">
        <v>2586308753</v>
      </c>
      <c r="D24" s="348">
        <v>72504803</v>
      </c>
      <c r="E24" s="348">
        <v>3759547802</v>
      </c>
      <c r="F24" s="348">
        <v>148529764</v>
      </c>
      <c r="G24" s="348">
        <v>1030297595</v>
      </c>
      <c r="H24" s="348">
        <v>7597188717</v>
      </c>
      <c r="I24" s="51">
        <f t="shared" si="1"/>
        <v>0.35526846217403463</v>
      </c>
    </row>
    <row r="25" spans="1:9" ht="16.350000000000001" customHeight="1">
      <c r="A25" s="57">
        <f t="shared" si="0"/>
        <v>2006</v>
      </c>
      <c r="B25" s="348">
        <v>17221780296</v>
      </c>
      <c r="C25" s="348">
        <v>2683302967</v>
      </c>
      <c r="D25" s="348">
        <v>73595238</v>
      </c>
      <c r="E25" s="348">
        <v>3883411127</v>
      </c>
      <c r="F25" s="348">
        <v>180296755</v>
      </c>
      <c r="G25" s="348">
        <v>673737210</v>
      </c>
      <c r="H25" s="348">
        <v>7494343297</v>
      </c>
      <c r="I25" s="51">
        <f t="shared" si="1"/>
        <v>0.43516658372077049</v>
      </c>
    </row>
    <row r="26" spans="1:9" ht="16.350000000000001" customHeight="1">
      <c r="A26" s="57">
        <f t="shared" si="0"/>
        <v>2007</v>
      </c>
      <c r="B26" s="348">
        <v>13260139026</v>
      </c>
      <c r="C26" s="348">
        <v>2832428040</v>
      </c>
      <c r="D26" s="348">
        <v>82144217</v>
      </c>
      <c r="E26" s="348">
        <v>4157500184</v>
      </c>
      <c r="F26" s="348">
        <v>186211668</v>
      </c>
      <c r="G26" s="348">
        <v>640983389</v>
      </c>
      <c r="H26" s="348">
        <v>7899267498</v>
      </c>
      <c r="I26" s="51">
        <f t="shared" si="1"/>
        <v>0.59571528492358961</v>
      </c>
    </row>
    <row r="27" spans="1:9" ht="16.350000000000001" customHeight="1">
      <c r="A27" s="57">
        <f t="shared" si="0"/>
        <v>2008</v>
      </c>
      <c r="B27" s="348">
        <v>10744447308</v>
      </c>
      <c r="C27" s="348">
        <v>2889109746</v>
      </c>
      <c r="D27" s="348">
        <v>98789034</v>
      </c>
      <c r="E27" s="348">
        <v>4152974886</v>
      </c>
      <c r="F27" s="348">
        <v>208860658</v>
      </c>
      <c r="G27" s="348">
        <v>343606973</v>
      </c>
      <c r="H27" s="348">
        <v>7693341297</v>
      </c>
      <c r="I27" s="51">
        <f t="shared" si="1"/>
        <v>0.71602950588921999</v>
      </c>
    </row>
    <row r="28" spans="1:9" ht="16.350000000000001" customHeight="1">
      <c r="A28" s="57">
        <f t="shared" si="0"/>
        <v>2009</v>
      </c>
      <c r="B28" s="348">
        <v>8873155994</v>
      </c>
      <c r="C28" s="348">
        <v>2779686260</v>
      </c>
      <c r="D28" s="348">
        <v>91874360</v>
      </c>
      <c r="E28" s="348">
        <v>3991283033</v>
      </c>
      <c r="F28" s="348">
        <v>220186025</v>
      </c>
      <c r="G28" s="348">
        <v>301722072</v>
      </c>
      <c r="H28" s="348">
        <v>7384751750</v>
      </c>
      <c r="I28" s="51">
        <f t="shared" si="1"/>
        <v>0.8322576268233699</v>
      </c>
    </row>
    <row r="29" spans="1:9" ht="16.350000000000001" customHeight="1">
      <c r="A29" s="57">
        <f t="shared" si="0"/>
        <v>2010</v>
      </c>
      <c r="B29" s="349">
        <v>9374814819</v>
      </c>
      <c r="C29" s="349">
        <v>2801868172</v>
      </c>
      <c r="D29" s="349">
        <v>78464314</v>
      </c>
      <c r="E29" s="349">
        <v>4085508174</v>
      </c>
      <c r="F29" s="349">
        <v>152249060</v>
      </c>
      <c r="G29" s="349">
        <v>379795115</v>
      </c>
      <c r="H29" s="349">
        <v>7497884835</v>
      </c>
      <c r="I29" s="299">
        <f t="shared" si="1"/>
        <v>0.79979018036750837</v>
      </c>
    </row>
    <row r="30" spans="1:9" ht="16.350000000000001" customHeight="1">
      <c r="A30" s="57">
        <f t="shared" si="0"/>
        <v>2011</v>
      </c>
      <c r="B30" s="348">
        <v>10120427050</v>
      </c>
      <c r="C30" s="348">
        <v>2780185288</v>
      </c>
      <c r="D30" s="348">
        <v>93912213</v>
      </c>
      <c r="E30" s="348">
        <v>3720429247.1428571</v>
      </c>
      <c r="F30" s="348">
        <v>193390242</v>
      </c>
      <c r="G30" s="348">
        <v>655830227</v>
      </c>
      <c r="H30" s="348">
        <v>7443747217.1428566</v>
      </c>
      <c r="I30" s="300">
        <f t="shared" si="1"/>
        <v>0.73551710618208122</v>
      </c>
    </row>
    <row r="31" spans="1:9" ht="16.350000000000001" customHeight="1">
      <c r="A31" s="57">
        <f t="shared" si="0"/>
        <v>2012</v>
      </c>
      <c r="B31" s="348">
        <v>11699330284</v>
      </c>
      <c r="C31" s="348">
        <v>2855701715</v>
      </c>
      <c r="D31" s="348">
        <v>109788266</v>
      </c>
      <c r="E31" s="348">
        <v>3659005098</v>
      </c>
      <c r="F31" s="348">
        <v>199864933</v>
      </c>
      <c r="G31" s="348">
        <v>576798960</v>
      </c>
      <c r="H31" s="348">
        <v>7401158972</v>
      </c>
      <c r="I31" s="300">
        <f t="shared" si="1"/>
        <v>0.63261390116678917</v>
      </c>
    </row>
    <row r="32" spans="1:9" ht="16.350000000000001" customHeight="1">
      <c r="A32" s="57">
        <f t="shared" si="0"/>
        <v>2013</v>
      </c>
      <c r="B32" s="348">
        <v>14161005539</v>
      </c>
      <c r="C32" s="348">
        <v>2899813074</v>
      </c>
      <c r="D32" s="348">
        <v>106154597</v>
      </c>
      <c r="E32" s="348">
        <v>3503182733</v>
      </c>
      <c r="F32" s="348">
        <v>207202785</v>
      </c>
      <c r="G32" s="348">
        <v>1032647338</v>
      </c>
      <c r="H32" s="348">
        <v>7749000527</v>
      </c>
      <c r="I32" s="300">
        <f t="shared" si="1"/>
        <v>0.54720694131916903</v>
      </c>
    </row>
    <row r="33" spans="1:9" ht="16.350000000000001" customHeight="1">
      <c r="A33" s="57">
        <f t="shared" si="0"/>
        <v>2014</v>
      </c>
      <c r="B33" s="348">
        <v>15986106452</v>
      </c>
      <c r="C33" s="348">
        <v>3075283400</v>
      </c>
      <c r="D33" s="348">
        <v>128875839</v>
      </c>
      <c r="E33" s="348">
        <v>3484874971</v>
      </c>
      <c r="F33" s="348">
        <v>233775373</v>
      </c>
      <c r="G33" s="348">
        <v>1405362734</v>
      </c>
      <c r="H33" s="348">
        <v>8328172317</v>
      </c>
      <c r="I33" s="300">
        <f t="shared" si="1"/>
        <v>0.52096314646760489</v>
      </c>
    </row>
    <row r="34" spans="1:9" ht="16.350000000000001" customHeight="1">
      <c r="A34" s="57">
        <f t="shared" si="0"/>
        <v>2015</v>
      </c>
      <c r="B34" s="348">
        <v>17060021462</v>
      </c>
      <c r="C34" s="348">
        <v>3154189727</v>
      </c>
      <c r="D34" s="348">
        <v>156239655</v>
      </c>
      <c r="E34" s="348">
        <v>3440487580</v>
      </c>
      <c r="F34" s="348">
        <v>275504054</v>
      </c>
      <c r="G34" s="348">
        <v>1691952552</v>
      </c>
      <c r="H34" s="348">
        <v>8718373568</v>
      </c>
      <c r="I34" s="300">
        <f t="shared" si="1"/>
        <v>0.51104118405827126</v>
      </c>
    </row>
    <row r="35" spans="1:9" ht="16.350000000000001" customHeight="1">
      <c r="A35" s="57">
        <f t="shared" si="0"/>
        <v>2016</v>
      </c>
      <c r="B35" s="348">
        <v>17949045779</v>
      </c>
      <c r="C35" s="348">
        <v>3100498849</v>
      </c>
      <c r="D35" s="348">
        <v>188882546</v>
      </c>
      <c r="E35" s="348">
        <v>3357343176</v>
      </c>
      <c r="F35" s="348">
        <v>310427644</v>
      </c>
      <c r="G35" s="348">
        <v>1665127336</v>
      </c>
      <c r="H35" s="348">
        <v>8622279551</v>
      </c>
      <c r="I35" s="300">
        <f t="shared" si="1"/>
        <v>0.48037537243834338</v>
      </c>
    </row>
    <row r="36" spans="1:9" ht="16.350000000000001" customHeight="1">
      <c r="A36" s="57">
        <f t="shared" si="0"/>
        <v>2017</v>
      </c>
      <c r="B36" s="348">
        <v>17671411530</v>
      </c>
      <c r="C36" s="348">
        <v>3048179320</v>
      </c>
      <c r="D36" s="348">
        <v>260565788</v>
      </c>
      <c r="E36" s="348">
        <v>3310042543</v>
      </c>
      <c r="F36" s="348">
        <v>419903390</v>
      </c>
      <c r="G36" s="348">
        <v>1718326592</v>
      </c>
      <c r="H36" s="348">
        <v>8757017633</v>
      </c>
      <c r="I36" s="51">
        <f t="shared" si="1"/>
        <v>0.49554715072610839</v>
      </c>
    </row>
    <row r="37" spans="1:9" ht="16.350000000000001" customHeight="1">
      <c r="A37" s="57">
        <f t="shared" si="0"/>
        <v>2018</v>
      </c>
      <c r="B37" s="348">
        <v>17426671333</v>
      </c>
      <c r="C37" s="348">
        <v>3084254256</v>
      </c>
      <c r="D37" s="348">
        <v>349564223</v>
      </c>
      <c r="E37" s="348">
        <v>3408022353</v>
      </c>
      <c r="F37" s="348">
        <v>538707556</v>
      </c>
      <c r="G37" s="348">
        <v>1721103168</v>
      </c>
      <c r="H37" s="348">
        <v>9101651556</v>
      </c>
      <c r="I37" s="51">
        <f t="shared" ref="I37" si="2">+H37/B37</f>
        <v>0.52228284920739088</v>
      </c>
    </row>
    <row r="38" spans="1:9" ht="16.350000000000001" customHeight="1">
      <c r="A38" s="57">
        <f t="shared" si="0"/>
        <v>2019</v>
      </c>
      <c r="B38" s="348">
        <v>16116850562</v>
      </c>
      <c r="C38" s="348">
        <v>3129324460</v>
      </c>
      <c r="D38" s="348">
        <v>511819064</v>
      </c>
      <c r="E38" s="348">
        <v>3346956924</v>
      </c>
      <c r="F38" s="348">
        <v>672192827</v>
      </c>
      <c r="G38" s="348">
        <v>2770338382</v>
      </c>
      <c r="H38" s="348">
        <v>10430631657</v>
      </c>
      <c r="I38" s="51">
        <f t="shared" si="1"/>
        <v>0.64718796125051514</v>
      </c>
    </row>
    <row r="39" spans="1:9" ht="16.350000000000001" customHeight="1">
      <c r="A39" s="57">
        <f t="shared" si="0"/>
        <v>2020</v>
      </c>
      <c r="B39" s="348">
        <v>14095940927</v>
      </c>
      <c r="C39" s="348">
        <v>2570075689</v>
      </c>
      <c r="D39" s="348">
        <v>601363594</v>
      </c>
      <c r="E39" s="348">
        <v>2736519368</v>
      </c>
      <c r="F39" s="348">
        <v>818981341</v>
      </c>
      <c r="G39" s="348">
        <v>1947463126</v>
      </c>
      <c r="H39" s="348">
        <v>8674403118</v>
      </c>
      <c r="I39" s="51">
        <f t="shared" ref="I39:I40" si="3">+H39/B39</f>
        <v>0.61538304983845793</v>
      </c>
    </row>
    <row r="40" spans="1:9" ht="16.350000000000001" customHeight="1">
      <c r="A40" s="57">
        <f t="shared" si="0"/>
        <v>2021</v>
      </c>
      <c r="B40" s="348">
        <v>13597391304</v>
      </c>
      <c r="C40" s="348">
        <v>2312662935</v>
      </c>
      <c r="D40" s="348">
        <v>857605734</v>
      </c>
      <c r="E40" s="348">
        <v>2463537851</v>
      </c>
      <c r="F40" s="348">
        <v>1166711751</v>
      </c>
      <c r="G40" s="348">
        <v>2403133359</v>
      </c>
      <c r="H40" s="348">
        <v>9203651630</v>
      </c>
      <c r="I40" s="51">
        <f t="shared" si="3"/>
        <v>0.67686892465119575</v>
      </c>
    </row>
    <row r="41" spans="1:9" ht="16.350000000000001" customHeight="1">
      <c r="A41" s="57">
        <f>A42-1</f>
        <v>2022</v>
      </c>
      <c r="B41" s="348">
        <v>15309332883</v>
      </c>
      <c r="C41" s="348">
        <v>1702818185</v>
      </c>
      <c r="D41" s="348">
        <v>1105367832</v>
      </c>
      <c r="E41" s="348">
        <v>1851950037</v>
      </c>
      <c r="F41" s="348">
        <v>1522429057</v>
      </c>
      <c r="G41" s="348">
        <v>3596197406</v>
      </c>
      <c r="H41" s="348">
        <v>9778762517</v>
      </c>
      <c r="I41" s="51">
        <f t="shared" ref="I41:I42" si="4">+H41/B41</f>
        <v>0.6387451753602319</v>
      </c>
    </row>
    <row r="42" spans="1:9" ht="16.350000000000001" customHeight="1">
      <c r="A42" s="57">
        <v>2023</v>
      </c>
      <c r="B42" s="348">
        <v>15735363716</v>
      </c>
      <c r="C42" s="348">
        <v>607192287</v>
      </c>
      <c r="D42" s="348">
        <v>884962558</v>
      </c>
      <c r="E42" s="348">
        <v>744675330</v>
      </c>
      <c r="F42" s="348">
        <v>1575984053</v>
      </c>
      <c r="G42" s="348">
        <v>5789763662</v>
      </c>
      <c r="H42" s="348">
        <v>9602577890</v>
      </c>
      <c r="I42" s="51">
        <f t="shared" si="4"/>
        <v>0.6102545872667644</v>
      </c>
    </row>
    <row r="43" spans="1:9" ht="18" customHeight="1">
      <c r="A43" s="301"/>
      <c r="B43" s="302"/>
      <c r="C43" s="302"/>
      <c r="D43" s="302"/>
      <c r="E43" s="302"/>
      <c r="F43" s="302"/>
      <c r="G43" s="303"/>
      <c r="H43" s="303"/>
      <c r="I43" s="51"/>
    </row>
    <row r="44" spans="1:9" ht="16.350000000000001" customHeight="1">
      <c r="A44" s="15" t="s">
        <v>12</v>
      </c>
      <c r="B44" s="194" t="s">
        <v>227</v>
      </c>
      <c r="C44" s="302"/>
      <c r="D44" s="302"/>
      <c r="E44" s="302"/>
      <c r="F44" s="302"/>
      <c r="G44" s="303"/>
      <c r="H44" s="303"/>
      <c r="I44" s="51"/>
    </row>
    <row r="45" spans="1:9" ht="27" customHeight="1">
      <c r="A45" s="15" t="s">
        <v>13</v>
      </c>
      <c r="B45" s="431" t="s">
        <v>14</v>
      </c>
      <c r="C45" s="431"/>
      <c r="D45" s="431"/>
      <c r="E45" s="431"/>
      <c r="F45" s="431"/>
      <c r="G45" s="431"/>
      <c r="H45" s="431"/>
      <c r="I45" s="431"/>
    </row>
    <row r="46" spans="1:9" ht="18" customHeight="1">
      <c r="A46" s="15"/>
      <c r="B46" s="54"/>
      <c r="C46" s="54"/>
      <c r="D46" s="54"/>
      <c r="E46" s="54"/>
      <c r="F46" s="54"/>
      <c r="G46" s="54"/>
      <c r="H46" s="54"/>
      <c r="I46" s="54"/>
    </row>
    <row r="47" spans="1:9" ht="18" customHeight="1">
      <c r="A47" s="78" t="s">
        <v>231</v>
      </c>
      <c r="B47" s="211" t="s">
        <v>351</v>
      </c>
      <c r="C47" s="54"/>
      <c r="D47" s="54"/>
      <c r="E47" s="54"/>
      <c r="F47" s="54"/>
      <c r="G47" s="54"/>
      <c r="H47" s="54"/>
      <c r="I47" s="54"/>
    </row>
    <row r="48" spans="1:9" ht="15" customHeight="1">
      <c r="A48" s="54"/>
      <c r="B48" s="54"/>
      <c r="C48" s="54"/>
      <c r="D48" s="54"/>
      <c r="E48" s="54"/>
      <c r="F48" s="54"/>
      <c r="G48" s="54"/>
      <c r="H48" s="54"/>
      <c r="I48" s="54"/>
    </row>
  </sheetData>
  <mergeCells count="1">
    <mergeCell ref="B45:I45"/>
  </mergeCells>
  <pageMargins left="0.5" right="0.5" top="0.75" bottom="0.75" header="0.33" footer="0.33"/>
  <pageSetup scale="84" orientation="portrait" blackAndWhite="1" r:id="rId1"/>
  <headerFooter scaleWithDoc="0">
    <oddHeader>&amp;R&amp;"Arial,Regular"&amp;10Exhibit 1</oddHeader>
  </headerFooter>
  <ignoredErrors>
    <ignoredError sqref="A6:A9"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W58"/>
  <sheetViews>
    <sheetView zoomScaleNormal="100" zoomScaleSheetLayoutView="100" workbookViewId="0"/>
  </sheetViews>
  <sheetFormatPr defaultColWidth="9.140625" defaultRowHeight="12.75"/>
  <cols>
    <col min="1" max="1" width="18.85546875" style="77" customWidth="1"/>
    <col min="2" max="20" width="7.85546875" style="77" customWidth="1"/>
    <col min="21" max="21" width="7.85546875" style="140" customWidth="1"/>
    <col min="22" max="22" width="7.85546875" style="108" customWidth="1"/>
    <col min="23" max="16384" width="9.140625" style="77"/>
  </cols>
  <sheetData>
    <row r="1" spans="1:23" ht="14.45" customHeight="1">
      <c r="A1" s="189" t="str">
        <f>"Selected Indemnity Development Factors - Paid to Ultimate"</f>
        <v>Selected Indemnity Development Factors - Paid to Ultimate</v>
      </c>
      <c r="B1" s="189"/>
      <c r="C1" s="189"/>
      <c r="D1" s="189"/>
      <c r="E1" s="189"/>
      <c r="F1" s="189"/>
      <c r="G1" s="189"/>
      <c r="H1" s="189"/>
      <c r="I1" s="189"/>
      <c r="J1" s="189"/>
      <c r="K1" s="189"/>
      <c r="L1" s="189"/>
      <c r="M1" s="189"/>
      <c r="N1" s="189"/>
      <c r="O1" s="189"/>
      <c r="P1" s="189"/>
      <c r="Q1" s="189"/>
      <c r="R1" s="189"/>
      <c r="S1" s="189"/>
      <c r="T1" s="189"/>
      <c r="U1" s="189"/>
      <c r="V1" s="189"/>
      <c r="W1" s="281"/>
    </row>
    <row r="2" spans="1:23">
      <c r="A2" s="105"/>
      <c r="B2" s="105"/>
      <c r="C2" s="105"/>
      <c r="D2" s="105"/>
      <c r="E2" s="105"/>
      <c r="F2" s="105"/>
      <c r="G2" s="105"/>
      <c r="H2" s="105"/>
      <c r="I2" s="105"/>
      <c r="J2" s="105"/>
      <c r="K2" s="105"/>
      <c r="L2" s="105"/>
      <c r="M2" s="105"/>
      <c r="N2" s="105"/>
      <c r="O2" s="105"/>
      <c r="P2" s="105"/>
      <c r="Q2" s="105"/>
      <c r="R2" s="105"/>
      <c r="S2" s="105"/>
      <c r="T2" s="281"/>
      <c r="U2" s="281"/>
      <c r="V2" s="281"/>
      <c r="W2" s="281"/>
    </row>
    <row r="3" spans="1:23" ht="14.45" customHeight="1">
      <c r="A3" s="105"/>
      <c r="B3" s="190" t="s">
        <v>18</v>
      </c>
      <c r="C3" s="190"/>
      <c r="D3" s="190"/>
      <c r="E3" s="190"/>
      <c r="F3" s="190"/>
      <c r="G3" s="190"/>
      <c r="H3" s="190"/>
      <c r="I3" s="190"/>
      <c r="J3" s="190"/>
      <c r="K3" s="190"/>
      <c r="L3" s="190"/>
      <c r="M3" s="190"/>
      <c r="N3" s="190"/>
      <c r="O3" s="190"/>
      <c r="P3" s="190"/>
      <c r="Q3" s="190"/>
      <c r="R3" s="190"/>
      <c r="S3" s="190"/>
      <c r="T3" s="190"/>
      <c r="U3" s="190"/>
      <c r="V3" s="190"/>
      <c r="W3" s="281"/>
    </row>
    <row r="4" spans="1:23">
      <c r="A4" s="184" t="s">
        <v>19</v>
      </c>
      <c r="B4" s="184" t="s">
        <v>422</v>
      </c>
      <c r="C4" s="184" t="s">
        <v>423</v>
      </c>
      <c r="D4" s="184" t="s">
        <v>424</v>
      </c>
      <c r="E4" s="184" t="s">
        <v>425</v>
      </c>
      <c r="F4" s="184" t="s">
        <v>426</v>
      </c>
      <c r="G4" s="184" t="s">
        <v>427</v>
      </c>
      <c r="H4" s="184" t="s">
        <v>428</v>
      </c>
      <c r="I4" s="184" t="s">
        <v>429</v>
      </c>
      <c r="J4" s="184" t="s">
        <v>430</v>
      </c>
      <c r="K4" s="184" t="s">
        <v>431</v>
      </c>
      <c r="L4" s="184" t="s">
        <v>432</v>
      </c>
      <c r="M4" s="184" t="s">
        <v>433</v>
      </c>
      <c r="N4" s="184" t="s">
        <v>434</v>
      </c>
      <c r="O4" s="184" t="s">
        <v>435</v>
      </c>
      <c r="P4" s="184" t="s">
        <v>436</v>
      </c>
      <c r="Q4" s="184" t="s">
        <v>437</v>
      </c>
      <c r="R4" s="184" t="s">
        <v>438</v>
      </c>
      <c r="S4" s="184" t="s">
        <v>439</v>
      </c>
      <c r="T4" s="184" t="s">
        <v>440</v>
      </c>
      <c r="U4" s="184" t="s">
        <v>441</v>
      </c>
      <c r="V4" s="184" t="s">
        <v>442</v>
      </c>
      <c r="W4" s="281"/>
    </row>
    <row r="5" spans="1:23" s="89" customFormat="1">
      <c r="A5" s="181">
        <f t="shared" ref="A5:A30" si="0">+A6-1</f>
        <v>1996</v>
      </c>
      <c r="B5" s="350" t="s">
        <v>31</v>
      </c>
      <c r="C5" s="350" t="s">
        <v>31</v>
      </c>
      <c r="D5" s="350" t="s">
        <v>31</v>
      </c>
      <c r="E5" s="350" t="s">
        <v>31</v>
      </c>
      <c r="F5" s="350" t="s">
        <v>31</v>
      </c>
      <c r="G5" s="350" t="s">
        <v>31</v>
      </c>
      <c r="H5" s="350" t="s">
        <v>31</v>
      </c>
      <c r="I5" s="350" t="s">
        <v>31</v>
      </c>
      <c r="J5" s="350" t="s">
        <v>31</v>
      </c>
      <c r="K5" s="350" t="s">
        <v>31</v>
      </c>
      <c r="L5" s="350" t="s">
        <v>31</v>
      </c>
      <c r="M5" s="350" t="s">
        <v>31</v>
      </c>
      <c r="N5" s="350" t="s">
        <v>31</v>
      </c>
      <c r="O5" s="350">
        <v>1.006</v>
      </c>
      <c r="P5" s="350">
        <v>1.004</v>
      </c>
      <c r="Q5" s="350">
        <v>1.004</v>
      </c>
      <c r="R5" s="350">
        <v>1.0049999999999999</v>
      </c>
      <c r="S5" s="350">
        <v>1.004</v>
      </c>
      <c r="T5" s="350">
        <v>1.0029999999999999</v>
      </c>
      <c r="U5" s="350">
        <v>1.0029999999999999</v>
      </c>
      <c r="V5" s="350">
        <v>1.002</v>
      </c>
      <c r="W5" s="281"/>
    </row>
    <row r="6" spans="1:23" s="89" customFormat="1">
      <c r="A6" s="181">
        <f t="shared" si="0"/>
        <v>1997</v>
      </c>
      <c r="B6" s="350" t="s">
        <v>31</v>
      </c>
      <c r="C6" s="350" t="s">
        <v>31</v>
      </c>
      <c r="D6" s="350" t="s">
        <v>31</v>
      </c>
      <c r="E6" s="350" t="s">
        <v>31</v>
      </c>
      <c r="F6" s="350" t="s">
        <v>31</v>
      </c>
      <c r="G6" s="350" t="s">
        <v>31</v>
      </c>
      <c r="H6" s="350" t="s">
        <v>31</v>
      </c>
      <c r="I6" s="350" t="s">
        <v>31</v>
      </c>
      <c r="J6" s="350" t="s">
        <v>31</v>
      </c>
      <c r="K6" s="350" t="s">
        <v>31</v>
      </c>
      <c r="L6" s="350" t="s">
        <v>31</v>
      </c>
      <c r="M6" s="350" t="s">
        <v>31</v>
      </c>
      <c r="N6" s="350">
        <v>1.0069999999999999</v>
      </c>
      <c r="O6" s="350">
        <v>1.006</v>
      </c>
      <c r="P6" s="350">
        <v>1.006</v>
      </c>
      <c r="Q6" s="350">
        <v>1.0049999999999999</v>
      </c>
      <c r="R6" s="350">
        <v>1.004</v>
      </c>
      <c r="S6" s="350">
        <v>1.0029999999999999</v>
      </c>
      <c r="T6" s="350">
        <v>1.0029999999999999</v>
      </c>
      <c r="U6" s="350">
        <v>1.002</v>
      </c>
      <c r="V6" s="350">
        <v>1.0029999999999999</v>
      </c>
      <c r="W6" s="281"/>
    </row>
    <row r="7" spans="1:23">
      <c r="A7" s="181">
        <f t="shared" si="0"/>
        <v>1998</v>
      </c>
      <c r="B7" s="350" t="s">
        <v>31</v>
      </c>
      <c r="C7" s="350" t="s">
        <v>31</v>
      </c>
      <c r="D7" s="350" t="s">
        <v>31</v>
      </c>
      <c r="E7" s="350" t="s">
        <v>31</v>
      </c>
      <c r="F7" s="350" t="s">
        <v>31</v>
      </c>
      <c r="G7" s="350" t="s">
        <v>31</v>
      </c>
      <c r="H7" s="350" t="s">
        <v>31</v>
      </c>
      <c r="I7" s="350" t="s">
        <v>31</v>
      </c>
      <c r="J7" s="350" t="s">
        <v>31</v>
      </c>
      <c r="K7" s="350" t="s">
        <v>31</v>
      </c>
      <c r="L7" s="350" t="s">
        <v>31</v>
      </c>
      <c r="M7" s="350">
        <v>1.0089999999999999</v>
      </c>
      <c r="N7" s="350">
        <v>1.0089999999999999</v>
      </c>
      <c r="O7" s="350">
        <v>1.0069999999999999</v>
      </c>
      <c r="P7" s="350">
        <v>1.006</v>
      </c>
      <c r="Q7" s="350">
        <v>1.006</v>
      </c>
      <c r="R7" s="350">
        <v>1.006</v>
      </c>
      <c r="S7" s="350">
        <v>1.004</v>
      </c>
      <c r="T7" s="350">
        <v>1.0029999999999999</v>
      </c>
      <c r="U7" s="350">
        <v>1.0029999999999999</v>
      </c>
      <c r="V7" s="350">
        <v>1.0029999999999999</v>
      </c>
      <c r="W7" s="281"/>
    </row>
    <row r="8" spans="1:23">
      <c r="A8" s="181">
        <f t="shared" si="0"/>
        <v>1999</v>
      </c>
      <c r="B8" s="350" t="s">
        <v>31</v>
      </c>
      <c r="C8" s="350" t="s">
        <v>31</v>
      </c>
      <c r="D8" s="350" t="s">
        <v>31</v>
      </c>
      <c r="E8" s="350" t="s">
        <v>31</v>
      </c>
      <c r="F8" s="350" t="s">
        <v>31</v>
      </c>
      <c r="G8" s="350" t="s">
        <v>31</v>
      </c>
      <c r="H8" s="350" t="s">
        <v>31</v>
      </c>
      <c r="I8" s="350" t="s">
        <v>31</v>
      </c>
      <c r="J8" s="350" t="s">
        <v>31</v>
      </c>
      <c r="K8" s="350" t="s">
        <v>31</v>
      </c>
      <c r="L8" s="350">
        <v>1.0109999999999999</v>
      </c>
      <c r="M8" s="350">
        <v>1.0089999999999999</v>
      </c>
      <c r="N8" s="350">
        <v>1.008</v>
      </c>
      <c r="O8" s="350">
        <v>1.0069999999999999</v>
      </c>
      <c r="P8" s="350">
        <v>1.006</v>
      </c>
      <c r="Q8" s="350">
        <v>1.004</v>
      </c>
      <c r="R8" s="350">
        <v>1.004</v>
      </c>
      <c r="S8" s="350">
        <v>1.0029999999999999</v>
      </c>
      <c r="T8" s="350">
        <v>1.0029999999999999</v>
      </c>
      <c r="U8" s="350">
        <v>1.0029999999999999</v>
      </c>
      <c r="V8" s="350">
        <v>1.002</v>
      </c>
      <c r="W8" s="281"/>
    </row>
    <row r="9" spans="1:23">
      <c r="A9" s="181">
        <f t="shared" si="0"/>
        <v>2000</v>
      </c>
      <c r="B9" s="350" t="s">
        <v>31</v>
      </c>
      <c r="C9" s="350" t="s">
        <v>31</v>
      </c>
      <c r="D9" s="350" t="s">
        <v>31</v>
      </c>
      <c r="E9" s="350" t="s">
        <v>31</v>
      </c>
      <c r="F9" s="350" t="s">
        <v>31</v>
      </c>
      <c r="G9" s="350" t="s">
        <v>31</v>
      </c>
      <c r="H9" s="350" t="s">
        <v>31</v>
      </c>
      <c r="I9" s="350" t="s">
        <v>31</v>
      </c>
      <c r="J9" s="350" t="s">
        <v>31</v>
      </c>
      <c r="K9" s="350">
        <v>1.0129999999999999</v>
      </c>
      <c r="L9" s="350">
        <v>1.01</v>
      </c>
      <c r="M9" s="350">
        <v>1.0089999999999999</v>
      </c>
      <c r="N9" s="350">
        <v>1.008</v>
      </c>
      <c r="O9" s="350">
        <v>1.0069999999999999</v>
      </c>
      <c r="P9" s="350">
        <v>1.0049999999999999</v>
      </c>
      <c r="Q9" s="350">
        <v>1.004</v>
      </c>
      <c r="R9" s="350">
        <v>1.004</v>
      </c>
      <c r="S9" s="350">
        <v>1.004</v>
      </c>
      <c r="T9" s="350">
        <v>1.0029999999999999</v>
      </c>
      <c r="U9" s="350">
        <v>1.002</v>
      </c>
      <c r="V9" s="350">
        <v>1.002</v>
      </c>
      <c r="W9" s="281"/>
    </row>
    <row r="10" spans="1:23">
      <c r="A10" s="181">
        <f t="shared" si="0"/>
        <v>2001</v>
      </c>
      <c r="B10" s="350" t="s">
        <v>31</v>
      </c>
      <c r="C10" s="350" t="s">
        <v>31</v>
      </c>
      <c r="D10" s="350" t="s">
        <v>31</v>
      </c>
      <c r="E10" s="350" t="s">
        <v>31</v>
      </c>
      <c r="F10" s="350" t="s">
        <v>31</v>
      </c>
      <c r="G10" s="350" t="s">
        <v>31</v>
      </c>
      <c r="H10" s="350" t="s">
        <v>31</v>
      </c>
      <c r="I10" s="350" t="s">
        <v>31</v>
      </c>
      <c r="J10" s="350">
        <v>1.0169999999999999</v>
      </c>
      <c r="K10" s="350">
        <v>1.014</v>
      </c>
      <c r="L10" s="350">
        <v>1.012</v>
      </c>
      <c r="M10" s="350">
        <v>1.0109999999999999</v>
      </c>
      <c r="N10" s="350">
        <v>1.008</v>
      </c>
      <c r="O10" s="350">
        <v>1.0069999999999999</v>
      </c>
      <c r="P10" s="350">
        <v>1.006</v>
      </c>
      <c r="Q10" s="350">
        <v>1.0049999999999999</v>
      </c>
      <c r="R10" s="350">
        <v>1.0049999999999999</v>
      </c>
      <c r="S10" s="350">
        <v>1.0049999999999999</v>
      </c>
      <c r="T10" s="350">
        <v>1.004</v>
      </c>
      <c r="U10" s="350">
        <v>1.0029999999999999</v>
      </c>
      <c r="V10" s="350">
        <v>1.002</v>
      </c>
      <c r="W10" s="281"/>
    </row>
    <row r="11" spans="1:23">
      <c r="A11" s="181">
        <f t="shared" si="0"/>
        <v>2002</v>
      </c>
      <c r="B11" s="350" t="s">
        <v>31</v>
      </c>
      <c r="C11" s="350" t="s">
        <v>31</v>
      </c>
      <c r="D11" s="350" t="s">
        <v>31</v>
      </c>
      <c r="E11" s="350" t="s">
        <v>31</v>
      </c>
      <c r="F11" s="350" t="s">
        <v>31</v>
      </c>
      <c r="G11" s="350" t="s">
        <v>31</v>
      </c>
      <c r="H11" s="350" t="s">
        <v>31</v>
      </c>
      <c r="I11" s="350">
        <v>1.02</v>
      </c>
      <c r="J11" s="350">
        <v>1.018</v>
      </c>
      <c r="K11" s="350">
        <v>1.0149999999999999</v>
      </c>
      <c r="L11" s="350">
        <v>1.014</v>
      </c>
      <c r="M11" s="350">
        <v>1.008</v>
      </c>
      <c r="N11" s="350">
        <v>1.008</v>
      </c>
      <c r="O11" s="350">
        <v>1.006</v>
      </c>
      <c r="P11" s="350">
        <v>1.006</v>
      </c>
      <c r="Q11" s="350">
        <v>1.0049999999999999</v>
      </c>
      <c r="R11" s="350">
        <v>1.004</v>
      </c>
      <c r="S11" s="350">
        <v>1.004</v>
      </c>
      <c r="T11" s="350">
        <v>1.0029999999999999</v>
      </c>
      <c r="U11" s="350">
        <v>1.002</v>
      </c>
      <c r="V11" s="350">
        <v>1.002</v>
      </c>
      <c r="W11" s="281"/>
    </row>
    <row r="12" spans="1:23">
      <c r="A12" s="181">
        <f t="shared" si="0"/>
        <v>2003</v>
      </c>
      <c r="B12" s="350" t="s">
        <v>31</v>
      </c>
      <c r="C12" s="350" t="s">
        <v>31</v>
      </c>
      <c r="D12" s="350" t="s">
        <v>31</v>
      </c>
      <c r="E12" s="350" t="s">
        <v>31</v>
      </c>
      <c r="F12" s="350" t="s">
        <v>31</v>
      </c>
      <c r="G12" s="350" t="s">
        <v>31</v>
      </c>
      <c r="H12" s="350">
        <v>1.03</v>
      </c>
      <c r="I12" s="350">
        <v>1.026</v>
      </c>
      <c r="J12" s="350">
        <v>1.0229999999999999</v>
      </c>
      <c r="K12" s="350">
        <v>1.0209999999999999</v>
      </c>
      <c r="L12" s="350">
        <v>1.0149999999999999</v>
      </c>
      <c r="M12" s="350">
        <v>1.012</v>
      </c>
      <c r="N12" s="350">
        <v>1.0089999999999999</v>
      </c>
      <c r="O12" s="350">
        <v>1.008</v>
      </c>
      <c r="P12" s="350">
        <v>1.0069999999999999</v>
      </c>
      <c r="Q12" s="350">
        <v>1.0069999999999999</v>
      </c>
      <c r="R12" s="350">
        <v>1.0069999999999999</v>
      </c>
      <c r="S12" s="350">
        <v>1.0049999999999999</v>
      </c>
      <c r="T12" s="350">
        <v>1.0029999999999999</v>
      </c>
      <c r="U12" s="350">
        <v>1.0029999999999999</v>
      </c>
      <c r="V12" s="350" t="s">
        <v>31</v>
      </c>
      <c r="W12" s="281"/>
    </row>
    <row r="13" spans="1:23">
      <c r="A13" s="181">
        <f t="shared" si="0"/>
        <v>2004</v>
      </c>
      <c r="B13" s="350" t="s">
        <v>31</v>
      </c>
      <c r="C13" s="350" t="s">
        <v>31</v>
      </c>
      <c r="D13" s="350" t="s">
        <v>31</v>
      </c>
      <c r="E13" s="350" t="s">
        <v>31</v>
      </c>
      <c r="F13" s="350" t="s">
        <v>31</v>
      </c>
      <c r="G13" s="350">
        <v>1.0489999999999999</v>
      </c>
      <c r="H13" s="350">
        <v>1.0409999999999999</v>
      </c>
      <c r="I13" s="350">
        <v>1.0349999999999999</v>
      </c>
      <c r="J13" s="350">
        <v>1.03</v>
      </c>
      <c r="K13" s="350">
        <v>1.02</v>
      </c>
      <c r="L13" s="350">
        <v>1.0149999999999999</v>
      </c>
      <c r="M13" s="350">
        <v>1.0109999999999999</v>
      </c>
      <c r="N13" s="350">
        <v>1.0089999999999999</v>
      </c>
      <c r="O13" s="350">
        <v>1.008</v>
      </c>
      <c r="P13" s="350">
        <v>1.0089999999999999</v>
      </c>
      <c r="Q13" s="350">
        <v>1.006</v>
      </c>
      <c r="R13" s="350">
        <v>1.004</v>
      </c>
      <c r="S13" s="350">
        <v>1.0029999999999999</v>
      </c>
      <c r="T13" s="350">
        <v>1.0029999999999999</v>
      </c>
      <c r="U13" s="350" t="s">
        <v>31</v>
      </c>
      <c r="V13" s="350" t="s">
        <v>31</v>
      </c>
      <c r="W13" s="281"/>
    </row>
    <row r="14" spans="1:23">
      <c r="A14" s="181">
        <f t="shared" si="0"/>
        <v>2005</v>
      </c>
      <c r="B14" s="350" t="s">
        <v>31</v>
      </c>
      <c r="C14" s="350" t="s">
        <v>31</v>
      </c>
      <c r="D14" s="350" t="s">
        <v>31</v>
      </c>
      <c r="E14" s="350" t="s">
        <v>31</v>
      </c>
      <c r="F14" s="350">
        <v>1.079</v>
      </c>
      <c r="G14" s="350">
        <v>1.06</v>
      </c>
      <c r="H14" s="350">
        <v>1.0469999999999999</v>
      </c>
      <c r="I14" s="350">
        <v>1.042</v>
      </c>
      <c r="J14" s="350">
        <v>1.028</v>
      </c>
      <c r="K14" s="350">
        <v>1.02</v>
      </c>
      <c r="L14" s="350">
        <v>1.0149999999999999</v>
      </c>
      <c r="M14" s="350">
        <v>1.0129999999999999</v>
      </c>
      <c r="N14" s="350">
        <v>1.01</v>
      </c>
      <c r="O14" s="350">
        <v>1.01</v>
      </c>
      <c r="P14" s="350">
        <v>1.01</v>
      </c>
      <c r="Q14" s="350">
        <v>1.0049999999999999</v>
      </c>
      <c r="R14" s="350">
        <v>1.0049999999999999</v>
      </c>
      <c r="S14" s="350">
        <v>1.004</v>
      </c>
      <c r="T14" s="350" t="s">
        <v>31</v>
      </c>
      <c r="U14" s="350" t="s">
        <v>31</v>
      </c>
      <c r="V14" s="350" t="s">
        <v>31</v>
      </c>
      <c r="W14" s="281"/>
    </row>
    <row r="15" spans="1:23">
      <c r="A15" s="181">
        <f t="shared" si="0"/>
        <v>2006</v>
      </c>
      <c r="B15" s="350" t="s">
        <v>31</v>
      </c>
      <c r="C15" s="350" t="s">
        <v>31</v>
      </c>
      <c r="D15" s="350" t="s">
        <v>31</v>
      </c>
      <c r="E15" s="350">
        <v>1.135</v>
      </c>
      <c r="F15" s="350">
        <v>1.0900000000000001</v>
      </c>
      <c r="G15" s="350">
        <v>1.0680000000000001</v>
      </c>
      <c r="H15" s="350">
        <v>1.05</v>
      </c>
      <c r="I15" s="350">
        <v>1.0349999999999999</v>
      </c>
      <c r="J15" s="350">
        <v>1.026</v>
      </c>
      <c r="K15" s="350">
        <v>1.018</v>
      </c>
      <c r="L15" s="350">
        <v>1.016</v>
      </c>
      <c r="M15" s="350">
        <v>1.012</v>
      </c>
      <c r="N15" s="350">
        <v>1.0109999999999999</v>
      </c>
      <c r="O15" s="350">
        <v>1.0089999999999999</v>
      </c>
      <c r="P15" s="350">
        <v>1.0069999999999999</v>
      </c>
      <c r="Q15" s="350">
        <v>1.006</v>
      </c>
      <c r="R15" s="350">
        <v>1.0049999999999999</v>
      </c>
      <c r="S15" s="350" t="s">
        <v>31</v>
      </c>
      <c r="T15" s="350" t="s">
        <v>31</v>
      </c>
      <c r="U15" s="350" t="s">
        <v>31</v>
      </c>
      <c r="V15" s="350" t="s">
        <v>31</v>
      </c>
      <c r="W15" s="281"/>
    </row>
    <row r="16" spans="1:23">
      <c r="A16" s="181">
        <f t="shared" si="0"/>
        <v>2007</v>
      </c>
      <c r="B16" s="350" t="s">
        <v>31</v>
      </c>
      <c r="C16" s="350" t="s">
        <v>31</v>
      </c>
      <c r="D16" s="350">
        <v>1.246</v>
      </c>
      <c r="E16" s="350">
        <v>1.1399999999999999</v>
      </c>
      <c r="F16" s="350">
        <v>1.0920000000000001</v>
      </c>
      <c r="G16" s="350">
        <v>1.0660000000000001</v>
      </c>
      <c r="H16" s="350">
        <v>1.046</v>
      </c>
      <c r="I16" s="350">
        <v>1.0329999999999999</v>
      </c>
      <c r="J16" s="350">
        <v>1.0269999999999999</v>
      </c>
      <c r="K16" s="350">
        <v>1.02</v>
      </c>
      <c r="L16" s="350">
        <v>1.016</v>
      </c>
      <c r="M16" s="350">
        <v>1.0129999999999999</v>
      </c>
      <c r="N16" s="350">
        <v>1.0129999999999999</v>
      </c>
      <c r="O16" s="350">
        <v>1.0069999999999999</v>
      </c>
      <c r="P16" s="350">
        <v>1.006</v>
      </c>
      <c r="Q16" s="350">
        <v>1.0049999999999999</v>
      </c>
      <c r="R16" s="350" t="s">
        <v>31</v>
      </c>
      <c r="S16" s="350" t="s">
        <v>31</v>
      </c>
      <c r="T16" s="350" t="s">
        <v>31</v>
      </c>
      <c r="U16" s="350" t="s">
        <v>31</v>
      </c>
      <c r="V16" s="350" t="s">
        <v>31</v>
      </c>
      <c r="W16" s="281"/>
    </row>
    <row r="17" spans="1:23">
      <c r="A17" s="181">
        <f t="shared" si="0"/>
        <v>2008</v>
      </c>
      <c r="B17" s="350" t="s">
        <v>31</v>
      </c>
      <c r="C17" s="350">
        <v>1.577</v>
      </c>
      <c r="D17" s="350">
        <v>1.2709999999999999</v>
      </c>
      <c r="E17" s="350">
        <v>1.1499999999999999</v>
      </c>
      <c r="F17" s="350">
        <v>1.0920000000000001</v>
      </c>
      <c r="G17" s="350">
        <v>1.06</v>
      </c>
      <c r="H17" s="350">
        <v>1.0409999999999999</v>
      </c>
      <c r="I17" s="350">
        <v>1.0269999999999999</v>
      </c>
      <c r="J17" s="350">
        <v>1.0229999999999999</v>
      </c>
      <c r="K17" s="350">
        <v>1.018</v>
      </c>
      <c r="L17" s="350">
        <v>1.0149999999999999</v>
      </c>
      <c r="M17" s="350">
        <v>1.01</v>
      </c>
      <c r="N17" s="350">
        <v>1.0089999999999999</v>
      </c>
      <c r="O17" s="350">
        <v>1.0069999999999999</v>
      </c>
      <c r="P17" s="350">
        <v>1.006</v>
      </c>
      <c r="Q17" s="350" t="s">
        <v>31</v>
      </c>
      <c r="R17" s="350" t="s">
        <v>31</v>
      </c>
      <c r="S17" s="350" t="s">
        <v>31</v>
      </c>
      <c r="T17" s="350" t="s">
        <v>31</v>
      </c>
      <c r="U17" s="350" t="s">
        <v>31</v>
      </c>
      <c r="V17" s="350" t="s">
        <v>31</v>
      </c>
      <c r="W17" s="281"/>
    </row>
    <row r="18" spans="1:23">
      <c r="A18" s="181">
        <f t="shared" si="0"/>
        <v>2009</v>
      </c>
      <c r="B18" s="350">
        <v>3.069</v>
      </c>
      <c r="C18" s="350">
        <v>1.6160000000000001</v>
      </c>
      <c r="D18" s="350">
        <v>1.28</v>
      </c>
      <c r="E18" s="350">
        <v>1.1559999999999999</v>
      </c>
      <c r="F18" s="350">
        <v>1.0920000000000001</v>
      </c>
      <c r="G18" s="350">
        <v>1.0609999999999999</v>
      </c>
      <c r="H18" s="350">
        <v>1.0429999999999999</v>
      </c>
      <c r="I18" s="350">
        <v>1.0309999999999999</v>
      </c>
      <c r="J18" s="350">
        <v>1.0229999999999999</v>
      </c>
      <c r="K18" s="350">
        <v>1.0189999999999999</v>
      </c>
      <c r="L18" s="350">
        <v>1.0109999999999999</v>
      </c>
      <c r="M18" s="350">
        <v>1.0129999999999999</v>
      </c>
      <c r="N18" s="350">
        <v>1.01</v>
      </c>
      <c r="O18" s="350">
        <v>1.008</v>
      </c>
      <c r="P18" s="350" t="s">
        <v>31</v>
      </c>
      <c r="Q18" s="350" t="s">
        <v>31</v>
      </c>
      <c r="R18" s="350" t="s">
        <v>31</v>
      </c>
      <c r="S18" s="350" t="s">
        <v>31</v>
      </c>
      <c r="T18" s="350" t="s">
        <v>31</v>
      </c>
      <c r="U18" s="350" t="s">
        <v>31</v>
      </c>
      <c r="V18" s="350" t="s">
        <v>31</v>
      </c>
      <c r="W18" s="281"/>
    </row>
    <row r="19" spans="1:23">
      <c r="A19" s="181">
        <f t="shared" si="0"/>
        <v>2010</v>
      </c>
      <c r="B19" s="350">
        <v>3.157</v>
      </c>
      <c r="C19" s="350">
        <v>1.6279999999999999</v>
      </c>
      <c r="D19" s="350">
        <v>1.2809999999999999</v>
      </c>
      <c r="E19" s="350">
        <v>1.147</v>
      </c>
      <c r="F19" s="350">
        <v>1.091</v>
      </c>
      <c r="G19" s="350">
        <v>1.06</v>
      </c>
      <c r="H19" s="350">
        <v>1.038</v>
      </c>
      <c r="I19" s="350">
        <v>1.0269999999999999</v>
      </c>
      <c r="J19" s="350">
        <v>1.0209999999999999</v>
      </c>
      <c r="K19" s="350">
        <v>1.0129999999999999</v>
      </c>
      <c r="L19" s="350">
        <v>1.012</v>
      </c>
      <c r="M19" s="350">
        <v>1.012</v>
      </c>
      <c r="N19" s="350">
        <v>1.0069999999999999</v>
      </c>
      <c r="O19" s="350" t="s">
        <v>31</v>
      </c>
      <c r="P19" s="350" t="s">
        <v>31</v>
      </c>
      <c r="Q19" s="350" t="s">
        <v>31</v>
      </c>
      <c r="R19" s="350" t="s">
        <v>31</v>
      </c>
      <c r="S19" s="350" t="s">
        <v>31</v>
      </c>
      <c r="T19" s="350" t="s">
        <v>31</v>
      </c>
      <c r="U19" s="350" t="s">
        <v>31</v>
      </c>
      <c r="V19" s="350" t="s">
        <v>31</v>
      </c>
      <c r="W19" s="281"/>
    </row>
    <row r="20" spans="1:23">
      <c r="A20" s="181">
        <f t="shared" si="0"/>
        <v>2011</v>
      </c>
      <c r="B20" s="350">
        <v>3.2080000000000002</v>
      </c>
      <c r="C20" s="350">
        <v>1.613</v>
      </c>
      <c r="D20" s="350">
        <v>1.266</v>
      </c>
      <c r="E20" s="350">
        <v>1.1439999999999999</v>
      </c>
      <c r="F20" s="350">
        <v>1.087</v>
      </c>
      <c r="G20" s="350">
        <v>1.056</v>
      </c>
      <c r="H20" s="350">
        <v>1.0409999999999999</v>
      </c>
      <c r="I20" s="350">
        <v>1.026</v>
      </c>
      <c r="J20" s="350">
        <v>1.016</v>
      </c>
      <c r="K20" s="350">
        <v>1.016</v>
      </c>
      <c r="L20" s="350">
        <v>1.01</v>
      </c>
      <c r="M20" s="350">
        <v>1.0069999999999999</v>
      </c>
      <c r="N20" s="350" t="s">
        <v>31</v>
      </c>
      <c r="O20" s="350" t="s">
        <v>31</v>
      </c>
      <c r="P20" s="350" t="s">
        <v>31</v>
      </c>
      <c r="Q20" s="350" t="s">
        <v>31</v>
      </c>
      <c r="R20" s="350" t="s">
        <v>31</v>
      </c>
      <c r="S20" s="350" t="s">
        <v>31</v>
      </c>
      <c r="T20" s="350" t="s">
        <v>31</v>
      </c>
      <c r="U20" s="350" t="s">
        <v>31</v>
      </c>
      <c r="V20" s="350" t="s">
        <v>31</v>
      </c>
      <c r="W20" s="281"/>
    </row>
    <row r="21" spans="1:23">
      <c r="A21" s="181">
        <f t="shared" si="0"/>
        <v>2012</v>
      </c>
      <c r="B21" s="350">
        <v>3.137</v>
      </c>
      <c r="C21" s="350">
        <v>1.597</v>
      </c>
      <c r="D21" s="350">
        <v>1.262</v>
      </c>
      <c r="E21" s="350">
        <v>1.137</v>
      </c>
      <c r="F21" s="350">
        <v>1.087</v>
      </c>
      <c r="G21" s="350">
        <v>1.0509999999999999</v>
      </c>
      <c r="H21" s="350">
        <v>1.034</v>
      </c>
      <c r="I21" s="350">
        <v>1.0229999999999999</v>
      </c>
      <c r="J21" s="350">
        <v>1.0169999999999999</v>
      </c>
      <c r="K21" s="350">
        <v>1.014</v>
      </c>
      <c r="L21" s="350">
        <v>1.012</v>
      </c>
      <c r="M21" s="350" t="s">
        <v>31</v>
      </c>
      <c r="N21" s="350" t="s">
        <v>31</v>
      </c>
      <c r="O21" s="350" t="s">
        <v>31</v>
      </c>
      <c r="P21" s="350" t="s">
        <v>31</v>
      </c>
      <c r="Q21" s="350" t="s">
        <v>31</v>
      </c>
      <c r="R21" s="350" t="s">
        <v>31</v>
      </c>
      <c r="S21" s="350" t="s">
        <v>31</v>
      </c>
      <c r="T21" s="350" t="s">
        <v>31</v>
      </c>
      <c r="U21" s="350" t="s">
        <v>31</v>
      </c>
      <c r="V21" s="350" t="s">
        <v>31</v>
      </c>
      <c r="W21" s="281"/>
    </row>
    <row r="22" spans="1:23">
      <c r="A22" s="181">
        <f t="shared" si="0"/>
        <v>2013</v>
      </c>
      <c r="B22" s="350">
        <v>3.169</v>
      </c>
      <c r="C22" s="350">
        <v>1.6060000000000001</v>
      </c>
      <c r="D22" s="350">
        <v>1.26</v>
      </c>
      <c r="E22" s="350">
        <v>1.129</v>
      </c>
      <c r="F22" s="350">
        <v>1.0720000000000001</v>
      </c>
      <c r="G22" s="350">
        <v>1.044</v>
      </c>
      <c r="H22" s="350">
        <v>1.028</v>
      </c>
      <c r="I22" s="350">
        <v>1.02</v>
      </c>
      <c r="J22" s="350">
        <v>1.014</v>
      </c>
      <c r="K22" s="350">
        <v>1.0109999999999999</v>
      </c>
      <c r="L22" s="350" t="s">
        <v>31</v>
      </c>
      <c r="M22" s="350" t="s">
        <v>31</v>
      </c>
      <c r="N22" s="350" t="s">
        <v>31</v>
      </c>
      <c r="O22" s="350" t="s">
        <v>31</v>
      </c>
      <c r="P22" s="350" t="s">
        <v>31</v>
      </c>
      <c r="Q22" s="350" t="s">
        <v>31</v>
      </c>
      <c r="R22" s="350" t="s">
        <v>31</v>
      </c>
      <c r="S22" s="350" t="s">
        <v>31</v>
      </c>
      <c r="T22" s="350" t="s">
        <v>31</v>
      </c>
      <c r="U22" s="350" t="s">
        <v>31</v>
      </c>
      <c r="V22" s="350" t="s">
        <v>31</v>
      </c>
      <c r="W22" s="281"/>
    </row>
    <row r="23" spans="1:23">
      <c r="A23" s="181">
        <f t="shared" si="0"/>
        <v>2014</v>
      </c>
      <c r="B23" s="350">
        <v>3.2290000000000001</v>
      </c>
      <c r="C23" s="350">
        <v>1.635</v>
      </c>
      <c r="D23" s="350">
        <v>1.2569999999999999</v>
      </c>
      <c r="E23" s="350">
        <v>1.129</v>
      </c>
      <c r="F23" s="350">
        <v>1.071</v>
      </c>
      <c r="G23" s="350">
        <v>1.0389999999999999</v>
      </c>
      <c r="H23" s="350">
        <v>1.0269999999999999</v>
      </c>
      <c r="I23" s="350">
        <v>1.018</v>
      </c>
      <c r="J23" s="350">
        <v>1.0169999999999999</v>
      </c>
      <c r="K23" s="350" t="s">
        <v>31</v>
      </c>
      <c r="L23" s="350" t="s">
        <v>31</v>
      </c>
      <c r="M23" s="350" t="s">
        <v>31</v>
      </c>
      <c r="N23" s="350" t="s">
        <v>31</v>
      </c>
      <c r="O23" s="350" t="s">
        <v>31</v>
      </c>
      <c r="P23" s="350" t="s">
        <v>31</v>
      </c>
      <c r="Q23" s="350" t="s">
        <v>31</v>
      </c>
      <c r="R23" s="350" t="s">
        <v>31</v>
      </c>
      <c r="S23" s="350" t="s">
        <v>31</v>
      </c>
      <c r="T23" s="350" t="s">
        <v>31</v>
      </c>
      <c r="U23" s="350" t="s">
        <v>31</v>
      </c>
      <c r="V23" s="350" t="s">
        <v>31</v>
      </c>
      <c r="W23" s="281"/>
    </row>
    <row r="24" spans="1:23">
      <c r="A24" s="181">
        <f t="shared" si="0"/>
        <v>2015</v>
      </c>
      <c r="B24" s="350">
        <v>3.278</v>
      </c>
      <c r="C24" s="350">
        <v>1.6180000000000001</v>
      </c>
      <c r="D24" s="350">
        <v>1.244</v>
      </c>
      <c r="E24" s="350">
        <v>1.119</v>
      </c>
      <c r="F24" s="350">
        <v>1.0580000000000001</v>
      </c>
      <c r="G24" s="350">
        <v>1.042</v>
      </c>
      <c r="H24" s="350">
        <v>1.026</v>
      </c>
      <c r="I24" s="350">
        <v>1.018</v>
      </c>
      <c r="J24" s="350" t="s">
        <v>31</v>
      </c>
      <c r="K24" s="350" t="s">
        <v>31</v>
      </c>
      <c r="L24" s="350" t="s">
        <v>31</v>
      </c>
      <c r="M24" s="350" t="s">
        <v>31</v>
      </c>
      <c r="N24" s="350" t="s">
        <v>31</v>
      </c>
      <c r="O24" s="350" t="s">
        <v>31</v>
      </c>
      <c r="P24" s="350" t="s">
        <v>31</v>
      </c>
      <c r="Q24" s="350" t="s">
        <v>31</v>
      </c>
      <c r="R24" s="350" t="s">
        <v>31</v>
      </c>
      <c r="S24" s="350" t="s">
        <v>31</v>
      </c>
      <c r="T24" s="350" t="s">
        <v>31</v>
      </c>
      <c r="U24" s="350" t="s">
        <v>31</v>
      </c>
      <c r="V24" s="350" t="s">
        <v>31</v>
      </c>
      <c r="W24" s="281"/>
    </row>
    <row r="25" spans="1:23">
      <c r="A25" s="181">
        <f t="shared" si="0"/>
        <v>2016</v>
      </c>
      <c r="B25" s="350">
        <v>3.2349999999999999</v>
      </c>
      <c r="C25" s="350">
        <v>1.5860000000000001</v>
      </c>
      <c r="D25" s="350">
        <v>1.23</v>
      </c>
      <c r="E25" s="350">
        <v>1.103</v>
      </c>
      <c r="F25" s="350">
        <v>1.06</v>
      </c>
      <c r="G25" s="350">
        <v>1.0429999999999999</v>
      </c>
      <c r="H25" s="350">
        <v>1.028</v>
      </c>
      <c r="I25" s="350" t="s">
        <v>31</v>
      </c>
      <c r="J25" s="350" t="s">
        <v>31</v>
      </c>
      <c r="K25" s="350" t="s">
        <v>31</v>
      </c>
      <c r="L25" s="350" t="s">
        <v>31</v>
      </c>
      <c r="M25" s="350" t="s">
        <v>31</v>
      </c>
      <c r="N25" s="350" t="s">
        <v>31</v>
      </c>
      <c r="O25" s="350" t="s">
        <v>31</v>
      </c>
      <c r="P25" s="350" t="s">
        <v>31</v>
      </c>
      <c r="Q25" s="350" t="s">
        <v>31</v>
      </c>
      <c r="R25" s="350" t="s">
        <v>31</v>
      </c>
      <c r="S25" s="350" t="s">
        <v>31</v>
      </c>
      <c r="T25" s="350" t="s">
        <v>31</v>
      </c>
      <c r="U25" s="350" t="s">
        <v>31</v>
      </c>
      <c r="V25" s="350" t="s">
        <v>31</v>
      </c>
      <c r="W25" s="281"/>
    </row>
    <row r="26" spans="1:23">
      <c r="A26" s="181">
        <f t="shared" si="0"/>
        <v>2017</v>
      </c>
      <c r="B26" s="350">
        <v>3.1850000000000001</v>
      </c>
      <c r="C26" s="350">
        <v>1.569</v>
      </c>
      <c r="D26" s="350">
        <v>1.21</v>
      </c>
      <c r="E26" s="350">
        <v>1.109</v>
      </c>
      <c r="F26" s="350">
        <v>1.0640000000000001</v>
      </c>
      <c r="G26" s="350">
        <v>1.0409999999999999</v>
      </c>
      <c r="H26" s="350" t="s">
        <v>31</v>
      </c>
      <c r="I26" s="350" t="s">
        <v>31</v>
      </c>
      <c r="J26" s="350" t="s">
        <v>31</v>
      </c>
      <c r="K26" s="350" t="s">
        <v>31</v>
      </c>
      <c r="L26" s="350" t="s">
        <v>31</v>
      </c>
      <c r="M26" s="350" t="s">
        <v>31</v>
      </c>
      <c r="N26" s="350" t="s">
        <v>31</v>
      </c>
      <c r="O26" s="350" t="s">
        <v>31</v>
      </c>
      <c r="P26" s="350" t="s">
        <v>31</v>
      </c>
      <c r="Q26" s="350" t="s">
        <v>31</v>
      </c>
      <c r="R26" s="350" t="s">
        <v>31</v>
      </c>
      <c r="S26" s="350" t="s">
        <v>31</v>
      </c>
      <c r="T26" s="350" t="s">
        <v>31</v>
      </c>
      <c r="U26" s="350" t="s">
        <v>31</v>
      </c>
      <c r="V26" s="350" t="s">
        <v>31</v>
      </c>
      <c r="W26" s="281"/>
    </row>
    <row r="27" spans="1:23">
      <c r="A27" s="181">
        <f t="shared" si="0"/>
        <v>2018</v>
      </c>
      <c r="B27" s="350">
        <v>3.11</v>
      </c>
      <c r="C27" s="350">
        <v>1.526</v>
      </c>
      <c r="D27" s="350">
        <v>1.222</v>
      </c>
      <c r="E27" s="350">
        <v>1.111</v>
      </c>
      <c r="F27" s="350">
        <v>1.071</v>
      </c>
      <c r="G27" s="350" t="s">
        <v>31</v>
      </c>
      <c r="H27" s="350" t="s">
        <v>31</v>
      </c>
      <c r="I27" s="350" t="s">
        <v>31</v>
      </c>
      <c r="J27" s="350" t="s">
        <v>31</v>
      </c>
      <c r="K27" s="350" t="s">
        <v>31</v>
      </c>
      <c r="L27" s="350" t="s">
        <v>31</v>
      </c>
      <c r="M27" s="350" t="s">
        <v>31</v>
      </c>
      <c r="N27" s="350" t="s">
        <v>31</v>
      </c>
      <c r="O27" s="350" t="s">
        <v>31</v>
      </c>
      <c r="P27" s="350" t="s">
        <v>31</v>
      </c>
      <c r="Q27" s="350" t="s">
        <v>31</v>
      </c>
      <c r="R27" s="350" t="s">
        <v>31</v>
      </c>
      <c r="S27" s="350" t="s">
        <v>31</v>
      </c>
      <c r="T27" s="350" t="s">
        <v>31</v>
      </c>
      <c r="U27" s="350" t="s">
        <v>31</v>
      </c>
      <c r="V27" s="350" t="s">
        <v>31</v>
      </c>
      <c r="W27" s="281"/>
    </row>
    <row r="28" spans="1:23">
      <c r="A28" s="181">
        <f t="shared" si="0"/>
        <v>2019</v>
      </c>
      <c r="B28" s="350">
        <v>3.0630000000000002</v>
      </c>
      <c r="C28" s="350">
        <v>1.5489999999999999</v>
      </c>
      <c r="D28" s="350">
        <v>1.238</v>
      </c>
      <c r="E28" s="350">
        <v>1.1220000000000001</v>
      </c>
      <c r="F28" s="350" t="s">
        <v>31</v>
      </c>
      <c r="G28" s="350" t="s">
        <v>31</v>
      </c>
      <c r="H28" s="350" t="s">
        <v>31</v>
      </c>
      <c r="I28" s="350" t="s">
        <v>31</v>
      </c>
      <c r="J28" s="350" t="s">
        <v>31</v>
      </c>
      <c r="K28" s="350" t="s">
        <v>31</v>
      </c>
      <c r="L28" s="350" t="s">
        <v>31</v>
      </c>
      <c r="M28" s="350" t="s">
        <v>31</v>
      </c>
      <c r="N28" s="350" t="s">
        <v>31</v>
      </c>
      <c r="O28" s="350" t="s">
        <v>31</v>
      </c>
      <c r="P28" s="350" t="s">
        <v>31</v>
      </c>
      <c r="Q28" s="350" t="s">
        <v>31</v>
      </c>
      <c r="R28" s="350" t="s">
        <v>31</v>
      </c>
      <c r="S28" s="350" t="s">
        <v>31</v>
      </c>
      <c r="T28" s="350" t="s">
        <v>31</v>
      </c>
      <c r="U28" s="350" t="s">
        <v>31</v>
      </c>
      <c r="V28" s="350" t="s">
        <v>31</v>
      </c>
      <c r="W28" s="281"/>
    </row>
    <row r="29" spans="1:23">
      <c r="A29" s="181">
        <f t="shared" si="0"/>
        <v>2020</v>
      </c>
      <c r="B29" s="350">
        <v>2.9580000000000002</v>
      </c>
      <c r="C29" s="350">
        <v>1.54</v>
      </c>
      <c r="D29" s="350">
        <v>1.24</v>
      </c>
      <c r="E29" s="350" t="s">
        <v>31</v>
      </c>
      <c r="F29" s="350" t="s">
        <v>31</v>
      </c>
      <c r="G29" s="350" t="s">
        <v>31</v>
      </c>
      <c r="H29" s="350" t="s">
        <v>31</v>
      </c>
      <c r="I29" s="350" t="s">
        <v>31</v>
      </c>
      <c r="J29" s="350" t="s">
        <v>31</v>
      </c>
      <c r="K29" s="350" t="s">
        <v>31</v>
      </c>
      <c r="L29" s="350" t="s">
        <v>31</v>
      </c>
      <c r="M29" s="350" t="s">
        <v>31</v>
      </c>
      <c r="N29" s="350" t="s">
        <v>31</v>
      </c>
      <c r="O29" s="350" t="s">
        <v>31</v>
      </c>
      <c r="P29" s="350" t="s">
        <v>31</v>
      </c>
      <c r="Q29" s="350" t="s">
        <v>31</v>
      </c>
      <c r="R29" s="350" t="s">
        <v>31</v>
      </c>
      <c r="S29" s="350" t="s">
        <v>31</v>
      </c>
      <c r="T29" s="350" t="s">
        <v>31</v>
      </c>
      <c r="U29" s="350" t="s">
        <v>31</v>
      </c>
      <c r="V29" s="350" t="s">
        <v>31</v>
      </c>
      <c r="W29" s="281"/>
    </row>
    <row r="30" spans="1:23" s="199" customFormat="1">
      <c r="A30" s="181">
        <f t="shared" si="0"/>
        <v>2021</v>
      </c>
      <c r="B30" s="350">
        <v>2.9369999999999998</v>
      </c>
      <c r="C30" s="350">
        <v>1.53</v>
      </c>
      <c r="D30" s="350" t="s">
        <v>31</v>
      </c>
      <c r="E30" s="350" t="s">
        <v>31</v>
      </c>
      <c r="F30" s="350" t="s">
        <v>31</v>
      </c>
      <c r="G30" s="350" t="s">
        <v>31</v>
      </c>
      <c r="H30" s="350" t="s">
        <v>31</v>
      </c>
      <c r="I30" s="350" t="s">
        <v>31</v>
      </c>
      <c r="J30" s="350" t="s">
        <v>31</v>
      </c>
      <c r="K30" s="350" t="s">
        <v>31</v>
      </c>
      <c r="L30" s="350" t="s">
        <v>31</v>
      </c>
      <c r="M30" s="350" t="s">
        <v>31</v>
      </c>
      <c r="N30" s="350" t="s">
        <v>31</v>
      </c>
      <c r="O30" s="350" t="s">
        <v>31</v>
      </c>
      <c r="P30" s="350" t="s">
        <v>31</v>
      </c>
      <c r="Q30" s="350" t="s">
        <v>31</v>
      </c>
      <c r="R30" s="350" t="s">
        <v>31</v>
      </c>
      <c r="S30" s="350" t="s">
        <v>31</v>
      </c>
      <c r="T30" s="350" t="s">
        <v>31</v>
      </c>
      <c r="U30" s="350" t="s">
        <v>31</v>
      </c>
      <c r="V30" s="350" t="s">
        <v>31</v>
      </c>
      <c r="W30" s="323"/>
    </row>
    <row r="31" spans="1:23">
      <c r="A31" s="181">
        <f>'Exhibit 2.4.1'!A31</f>
        <v>2022</v>
      </c>
      <c r="B31" s="350">
        <v>2.952</v>
      </c>
      <c r="C31" s="350" t="s">
        <v>31</v>
      </c>
      <c r="D31" s="350" t="s">
        <v>31</v>
      </c>
      <c r="E31" s="350" t="s">
        <v>31</v>
      </c>
      <c r="F31" s="350" t="s">
        <v>31</v>
      </c>
      <c r="G31" s="350" t="s">
        <v>31</v>
      </c>
      <c r="H31" s="350" t="s">
        <v>31</v>
      </c>
      <c r="I31" s="350" t="s">
        <v>31</v>
      </c>
      <c r="J31" s="350" t="s">
        <v>31</v>
      </c>
      <c r="K31" s="350" t="s">
        <v>31</v>
      </c>
      <c r="L31" s="350" t="s">
        <v>31</v>
      </c>
      <c r="M31" s="350" t="s">
        <v>31</v>
      </c>
      <c r="N31" s="350" t="s">
        <v>31</v>
      </c>
      <c r="O31" s="350" t="s">
        <v>31</v>
      </c>
      <c r="P31" s="350" t="s">
        <v>31</v>
      </c>
      <c r="Q31" s="350" t="s">
        <v>31</v>
      </c>
      <c r="R31" s="350" t="s">
        <v>31</v>
      </c>
      <c r="S31" s="350" t="s">
        <v>31</v>
      </c>
      <c r="T31" s="350" t="s">
        <v>31</v>
      </c>
      <c r="U31" s="350" t="s">
        <v>31</v>
      </c>
      <c r="V31" s="350" t="s">
        <v>31</v>
      </c>
      <c r="W31" s="281"/>
    </row>
    <row r="32" spans="1:23">
      <c r="A32" s="283"/>
      <c r="B32" s="312"/>
      <c r="C32" s="312"/>
      <c r="D32" s="312"/>
      <c r="E32" s="312"/>
      <c r="F32" s="312"/>
      <c r="G32" s="312"/>
      <c r="H32" s="283"/>
      <c r="I32" s="283"/>
      <c r="J32" s="283"/>
      <c r="K32" s="283"/>
      <c r="L32" s="283"/>
      <c r="M32" s="283"/>
      <c r="N32" s="283"/>
      <c r="O32" s="283"/>
      <c r="P32" s="283"/>
      <c r="Q32" s="14"/>
      <c r="R32" s="14"/>
      <c r="S32" s="283"/>
      <c r="T32" s="281"/>
      <c r="U32" s="281"/>
      <c r="V32" s="281"/>
      <c r="W32" s="281"/>
    </row>
    <row r="33" spans="1:23">
      <c r="A33" s="181" t="s">
        <v>20</v>
      </c>
      <c r="B33" s="351">
        <f ca="1">OFFSET(B$32,-COUNTA($B$4:B$4),0)</f>
        <v>2.952</v>
      </c>
      <c r="C33" s="351">
        <f ca="1">OFFSET(C$32,-COUNTA($B$4:C$4),0)</f>
        <v>1.53</v>
      </c>
      <c r="D33" s="351">
        <f ca="1">OFFSET(D$32,-COUNTA($B$4:D$4),0)</f>
        <v>1.24</v>
      </c>
      <c r="E33" s="351">
        <f ca="1">OFFSET(E$32,-COUNTA($B$4:E$4),0)</f>
        <v>1.1220000000000001</v>
      </c>
      <c r="F33" s="351">
        <f ca="1">OFFSET(F$32,-COUNTA($B$4:F$4),0)</f>
        <v>1.071</v>
      </c>
      <c r="G33" s="351">
        <f ca="1">OFFSET(G$32,-COUNTA($B$4:G$4),0)</f>
        <v>1.0409999999999999</v>
      </c>
      <c r="H33" s="351">
        <f ca="1">OFFSET(H$32,-COUNTA($B$4:H$4),0)</f>
        <v>1.028</v>
      </c>
      <c r="I33" s="351">
        <f ca="1">OFFSET(I$32,-COUNTA($B$4:I$4),0)</f>
        <v>1.018</v>
      </c>
      <c r="J33" s="351">
        <f ca="1">AVERAGE(OFFSET(J$30:J$32,-COUNTA($B$4:J$4),0))</f>
        <v>1.0159999999999998</v>
      </c>
      <c r="K33" s="351">
        <f ca="1">AVERAGE(OFFSET(K$30:K$32,-COUNTA($B$4:K$4),0))</f>
        <v>1.0136666666666667</v>
      </c>
      <c r="L33" s="351">
        <f ca="1">AVERAGE(OFFSET(L$30:L$32,-COUNTA($B$4:L$4),0))</f>
        <v>1.0113333333333334</v>
      </c>
      <c r="M33" s="351">
        <f ca="1">AVERAGE(OFFSET(M$30:M$32,-COUNTA($B$4:M$4),0))</f>
        <v>1.0106666666666666</v>
      </c>
      <c r="N33" s="351">
        <f ca="1">AVERAGE(OFFSET(N$30:N$32,-COUNTA($B$4:N$4),0))</f>
        <v>1.0086666666666666</v>
      </c>
      <c r="O33" s="351">
        <f ca="1">AVERAGE(OFFSET(O$30:O$32,-COUNTA($B$4:O$4),0))</f>
        <v>1.0073333333333332</v>
      </c>
      <c r="P33" s="351">
        <f ca="1">AVERAGE(OFFSET(P$30:P$32,-COUNTA($B$4:P$4),0))</f>
        <v>1.0063333333333333</v>
      </c>
      <c r="Q33" s="351">
        <f ca="1">AVERAGE(OFFSET(Q$30:Q$32,-COUNTA($B$4:Q$4),0))</f>
        <v>1.0053333333333334</v>
      </c>
      <c r="R33" s="351">
        <f ca="1">AVERAGE(OFFSET(R$30:R$32,-COUNTA($B$4:R$4),0))</f>
        <v>1.0046666666666666</v>
      </c>
      <c r="S33" s="351">
        <f ca="1">AVERAGE(OFFSET(S$30:S$32,-COUNTA($B$4:S$4),0))</f>
        <v>1.004</v>
      </c>
      <c r="T33" s="351">
        <f ca="1">AVERAGE(OFFSET(T$30:T$32,-COUNTA($B$4:T$4),0))</f>
        <v>1.0029999999999999</v>
      </c>
      <c r="U33" s="351">
        <f ca="1">AVERAGE(OFFSET(U$30:U$32,-COUNTA($B$4:U$4),0))</f>
        <v>1.0026666666666666</v>
      </c>
      <c r="V33" s="351">
        <f ca="1">AVERAGE(OFFSET(V$30:V$32,-COUNTA($B$4:V$4),0))</f>
        <v>1.002</v>
      </c>
      <c r="W33" s="281"/>
    </row>
    <row r="34" spans="1:23">
      <c r="A34" s="181" t="s">
        <v>21</v>
      </c>
      <c r="B34" s="351">
        <f ca="1">C34*B33</f>
        <v>8.2516564035810198</v>
      </c>
      <c r="C34" s="351">
        <f t="shared" ref="C34:U34" ca="1" si="1">D34*C33</f>
        <v>2.7952765594786655</v>
      </c>
      <c r="D34" s="351">
        <f t="shared" ca="1" si="1"/>
        <v>1.826978143450108</v>
      </c>
      <c r="E34" s="351">
        <f t="shared" ca="1" si="1"/>
        <v>1.4733694705242806</v>
      </c>
      <c r="F34" s="351">
        <f t="shared" ca="1" si="1"/>
        <v>1.3131635209663819</v>
      </c>
      <c r="G34" s="351">
        <f t="shared" ca="1" si="1"/>
        <v>1.2261097301273407</v>
      </c>
      <c r="H34" s="351">
        <f t="shared" ca="1" si="1"/>
        <v>1.1778191451751592</v>
      </c>
      <c r="I34" s="351">
        <f t="shared" ca="1" si="1"/>
        <v>1.1457384680692209</v>
      </c>
      <c r="J34" s="351">
        <f t="shared" ca="1" si="1"/>
        <v>1.1254798311092542</v>
      </c>
      <c r="K34" s="351">
        <f t="shared" ca="1" si="1"/>
        <v>1.1077557392807622</v>
      </c>
      <c r="L34" s="351">
        <f t="shared" ca="1" si="1"/>
        <v>1.0928205254331753</v>
      </c>
      <c r="M34" s="351">
        <f t="shared" ca="1" si="1"/>
        <v>1.0805740198745966</v>
      </c>
      <c r="N34" s="351">
        <f t="shared" ca="1" si="1"/>
        <v>1.0691695447308014</v>
      </c>
      <c r="O34" s="351">
        <f t="shared" ca="1" si="1"/>
        <v>1.0599830251792479</v>
      </c>
      <c r="P34" s="351">
        <f t="shared" ca="1" si="1"/>
        <v>1.052266404876818</v>
      </c>
      <c r="Q34" s="351">
        <f t="shared" ca="1" si="1"/>
        <v>1.0456439929216477</v>
      </c>
      <c r="R34" s="351">
        <f t="shared" ca="1" si="1"/>
        <v>1.0400968099353258</v>
      </c>
      <c r="S34" s="351">
        <f t="shared" ca="1" si="1"/>
        <v>1.035265570605832</v>
      </c>
      <c r="T34" s="351">
        <f t="shared" ca="1" si="1"/>
        <v>1.0311410065795139</v>
      </c>
      <c r="U34" s="351">
        <f t="shared" ca="1" si="1"/>
        <v>1.0280568360713001</v>
      </c>
      <c r="V34" s="351">
        <f ca="1">'Exhibit 2.5.2'!B28*V33</f>
        <v>1.0253226423583446</v>
      </c>
      <c r="W34" s="281"/>
    </row>
    <row r="35" spans="1:23">
      <c r="A35" s="283"/>
      <c r="B35" s="312"/>
      <c r="C35" s="312"/>
      <c r="D35" s="312"/>
      <c r="E35" s="312"/>
      <c r="F35" s="312"/>
      <c r="G35" s="312"/>
      <c r="H35" s="283"/>
      <c r="I35" s="283"/>
      <c r="J35" s="283"/>
      <c r="K35" s="283"/>
      <c r="L35" s="283"/>
      <c r="M35" s="283"/>
      <c r="N35" s="283"/>
      <c r="O35" s="283"/>
      <c r="P35" s="283"/>
      <c r="Q35" s="283"/>
      <c r="R35" s="283"/>
      <c r="S35" s="283"/>
      <c r="T35" s="281"/>
      <c r="U35" s="281"/>
      <c r="V35" s="281"/>
      <c r="W35" s="281"/>
    </row>
    <row r="36" spans="1:23" ht="12.75" customHeight="1">
      <c r="A36" s="15"/>
      <c r="B36" s="194"/>
      <c r="C36" s="194"/>
      <c r="D36" s="194"/>
      <c r="E36" s="194"/>
      <c r="F36" s="194"/>
      <c r="G36" s="194"/>
      <c r="H36" s="194"/>
      <c r="I36" s="194"/>
      <c r="J36" s="194"/>
      <c r="K36" s="194"/>
      <c r="L36" s="194"/>
      <c r="M36" s="194"/>
      <c r="N36" s="194"/>
      <c r="O36" s="194"/>
      <c r="P36" s="194"/>
      <c r="Q36" s="194"/>
      <c r="R36" s="194"/>
      <c r="S36" s="194"/>
      <c r="T36" s="281"/>
      <c r="U36" s="281"/>
      <c r="V36" s="281"/>
      <c r="W36" s="281"/>
    </row>
    <row r="37" spans="1:23" ht="12.75" customHeight="1">
      <c r="A37" s="189" t="str">
        <f>"Selected Indemnity Development Factors - Incurred to Ultimate"</f>
        <v>Selected Indemnity Development Factors - Incurred to Ultimate</v>
      </c>
      <c r="B37" s="189"/>
      <c r="C37" s="189"/>
      <c r="D37" s="189"/>
      <c r="E37" s="189"/>
      <c r="F37" s="189"/>
      <c r="G37" s="189"/>
      <c r="H37" s="189"/>
      <c r="I37" s="189"/>
      <c r="J37" s="189"/>
      <c r="K37" s="189"/>
      <c r="L37" s="189"/>
      <c r="M37" s="189"/>
      <c r="N37" s="189"/>
      <c r="O37" s="189"/>
      <c r="P37" s="189"/>
      <c r="Q37" s="189"/>
      <c r="R37" s="189"/>
      <c r="S37" s="189"/>
      <c r="T37" s="189"/>
      <c r="U37" s="189"/>
      <c r="V37" s="189"/>
      <c r="W37" s="281"/>
    </row>
    <row r="38" spans="1:23" ht="12.75" customHeight="1">
      <c r="A38" s="15"/>
      <c r="B38" s="311"/>
      <c r="C38" s="310"/>
      <c r="D38" s="310"/>
      <c r="E38" s="310"/>
      <c r="F38" s="310"/>
      <c r="G38" s="310"/>
      <c r="H38" s="170"/>
      <c r="I38" s="170"/>
      <c r="J38" s="170"/>
      <c r="K38" s="170"/>
      <c r="L38" s="170"/>
      <c r="M38" s="170"/>
      <c r="N38" s="170"/>
      <c r="O38" s="170"/>
      <c r="P38" s="170"/>
      <c r="Q38" s="170"/>
      <c r="R38" s="170"/>
      <c r="S38" s="170"/>
      <c r="T38" s="281"/>
      <c r="U38" s="281"/>
      <c r="V38" s="281"/>
      <c r="W38" s="281"/>
    </row>
    <row r="39" spans="1:23" ht="12.75" customHeight="1">
      <c r="A39" s="281"/>
      <c r="B39" s="190" t="s">
        <v>18</v>
      </c>
      <c r="C39" s="190"/>
      <c r="D39" s="190"/>
      <c r="E39" s="190"/>
      <c r="F39" s="190"/>
      <c r="G39" s="190"/>
      <c r="H39" s="190"/>
      <c r="I39" s="190"/>
      <c r="J39" s="190"/>
      <c r="K39" s="190"/>
      <c r="L39" s="190"/>
      <c r="M39" s="190"/>
      <c r="N39" s="190"/>
      <c r="O39" s="190"/>
      <c r="P39" s="190"/>
      <c r="Q39" s="190"/>
      <c r="R39" s="190"/>
      <c r="S39" s="190"/>
      <c r="T39" s="190"/>
      <c r="U39" s="190"/>
      <c r="V39" s="190"/>
      <c r="W39" s="281"/>
    </row>
    <row r="40" spans="1:23">
      <c r="A40" s="184" t="s">
        <v>19</v>
      </c>
      <c r="B40" s="184" t="s">
        <v>422</v>
      </c>
      <c r="C40" s="184" t="s">
        <v>423</v>
      </c>
      <c r="D40" s="184" t="s">
        <v>424</v>
      </c>
      <c r="E40" s="184" t="s">
        <v>425</v>
      </c>
      <c r="F40" s="184" t="s">
        <v>426</v>
      </c>
      <c r="G40" s="184" t="s">
        <v>427</v>
      </c>
      <c r="H40" s="184" t="s">
        <v>428</v>
      </c>
      <c r="I40" s="184" t="s">
        <v>429</v>
      </c>
      <c r="J40" s="184" t="s">
        <v>430</v>
      </c>
      <c r="K40" s="345" t="s">
        <v>491</v>
      </c>
      <c r="L40" s="183"/>
      <c r="M40" s="183"/>
      <c r="N40" s="183"/>
      <c r="O40" s="183"/>
      <c r="P40" s="183"/>
      <c r="Q40" s="183"/>
      <c r="R40" s="183"/>
      <c r="S40" s="183"/>
      <c r="T40" s="281"/>
      <c r="U40" s="281"/>
      <c r="V40" s="281"/>
    </row>
    <row r="41" spans="1:23">
      <c r="A41" s="181">
        <v>2012</v>
      </c>
      <c r="B41" s="350">
        <v>1.992</v>
      </c>
      <c r="C41" s="350">
        <v>1.2789999999999999</v>
      </c>
      <c r="D41" s="350">
        <v>1.113</v>
      </c>
      <c r="E41" s="350">
        <v>1.0629999999999999</v>
      </c>
      <c r="F41" s="350">
        <v>1.0409999999999999</v>
      </c>
      <c r="G41" s="350">
        <v>1.0229999999999999</v>
      </c>
      <c r="H41" s="350">
        <v>1.016</v>
      </c>
      <c r="I41" s="350">
        <v>1.0129999999999999</v>
      </c>
      <c r="J41" s="350">
        <v>1.0069999999999999</v>
      </c>
      <c r="K41" s="350">
        <v>0.9496806700228656</v>
      </c>
      <c r="L41" s="281"/>
      <c r="M41" s="281"/>
      <c r="N41" s="281"/>
      <c r="O41" s="281"/>
      <c r="P41" s="281"/>
      <c r="Q41" s="281"/>
      <c r="R41" s="281"/>
      <c r="S41" s="281"/>
      <c r="T41" s="281"/>
      <c r="U41" s="281"/>
      <c r="V41" s="281"/>
      <c r="W41" s="281"/>
    </row>
    <row r="42" spans="1:23">
      <c r="A42" s="181">
        <f>+A41+1</f>
        <v>2013</v>
      </c>
      <c r="B42" s="350">
        <v>1.931</v>
      </c>
      <c r="C42" s="350">
        <v>1.2589999999999999</v>
      </c>
      <c r="D42" s="350">
        <v>1.111</v>
      </c>
      <c r="E42" s="350">
        <v>1.0549999999999999</v>
      </c>
      <c r="F42" s="350">
        <v>1.032</v>
      </c>
      <c r="G42" s="350">
        <v>1.02</v>
      </c>
      <c r="H42" s="350">
        <v>1.0129999999999999</v>
      </c>
      <c r="I42" s="350">
        <v>1.0069999999999999</v>
      </c>
      <c r="J42" s="350">
        <v>1.006</v>
      </c>
      <c r="K42" s="350">
        <v>0.95971167331553575</v>
      </c>
      <c r="L42" s="281"/>
      <c r="M42" s="281"/>
      <c r="N42" s="281"/>
      <c r="O42" s="281"/>
      <c r="P42" s="281"/>
      <c r="Q42" s="281"/>
      <c r="R42" s="281"/>
      <c r="S42" s="281"/>
      <c r="T42" s="281"/>
      <c r="U42" s="281"/>
      <c r="V42" s="281"/>
      <c r="W42" s="281"/>
    </row>
    <row r="43" spans="1:23">
      <c r="A43" s="181">
        <f t="shared" ref="A43:A51" si="2">+A42+1</f>
        <v>2014</v>
      </c>
      <c r="B43" s="350">
        <v>1.96</v>
      </c>
      <c r="C43" s="350">
        <v>1.278</v>
      </c>
      <c r="D43" s="350">
        <v>1.115</v>
      </c>
      <c r="E43" s="350">
        <v>1.0589999999999999</v>
      </c>
      <c r="F43" s="350">
        <v>1.0289999999999999</v>
      </c>
      <c r="G43" s="350">
        <v>1.016</v>
      </c>
      <c r="H43" s="350">
        <v>1.0109999999999999</v>
      </c>
      <c r="I43" s="350">
        <v>1.006</v>
      </c>
      <c r="J43" s="350">
        <v>1.0089999999999999</v>
      </c>
      <c r="K43" s="350">
        <v>0.95983905457659857</v>
      </c>
    </row>
    <row r="44" spans="1:23">
      <c r="A44" s="181">
        <f t="shared" si="2"/>
        <v>2015</v>
      </c>
      <c r="B44" s="350">
        <v>1.9690000000000001</v>
      </c>
      <c r="C44" s="350">
        <v>1.26</v>
      </c>
      <c r="D44" s="350">
        <v>1.101</v>
      </c>
      <c r="E44" s="350">
        <v>1.0469999999999999</v>
      </c>
      <c r="F44" s="350">
        <v>1.0269999999999999</v>
      </c>
      <c r="G44" s="350">
        <v>1.0169999999999999</v>
      </c>
      <c r="H44" s="350">
        <v>1.008</v>
      </c>
      <c r="I44" s="350">
        <v>1.008</v>
      </c>
      <c r="J44" s="350" t="s">
        <v>31</v>
      </c>
      <c r="K44" s="350"/>
    </row>
    <row r="45" spans="1:23">
      <c r="A45" s="181">
        <f t="shared" si="2"/>
        <v>2016</v>
      </c>
      <c r="B45" s="350">
        <v>1.9410000000000001</v>
      </c>
      <c r="C45" s="350">
        <v>1.246</v>
      </c>
      <c r="D45" s="350">
        <v>1.095</v>
      </c>
      <c r="E45" s="350">
        <v>1.046</v>
      </c>
      <c r="F45" s="350">
        <v>1.026</v>
      </c>
      <c r="G45" s="350">
        <v>1.0169999999999999</v>
      </c>
      <c r="H45" s="350">
        <v>1.0109999999999999</v>
      </c>
      <c r="I45" s="350" t="s">
        <v>31</v>
      </c>
      <c r="J45" s="350" t="s">
        <v>31</v>
      </c>
      <c r="K45" s="350"/>
    </row>
    <row r="46" spans="1:23">
      <c r="A46" s="181">
        <f t="shared" si="2"/>
        <v>2017</v>
      </c>
      <c r="B46" s="350">
        <v>1.911</v>
      </c>
      <c r="C46" s="350">
        <v>1.2410000000000001</v>
      </c>
      <c r="D46" s="350">
        <v>1.0880000000000001</v>
      </c>
      <c r="E46" s="350">
        <v>1.0429999999999999</v>
      </c>
      <c r="F46" s="350">
        <v>1.028</v>
      </c>
      <c r="G46" s="350">
        <v>1.016</v>
      </c>
      <c r="H46" s="350" t="s">
        <v>31</v>
      </c>
      <c r="I46" s="350" t="s">
        <v>31</v>
      </c>
      <c r="J46" s="350" t="s">
        <v>31</v>
      </c>
      <c r="K46" s="350"/>
    </row>
    <row r="47" spans="1:23">
      <c r="A47" s="181">
        <f t="shared" si="2"/>
        <v>2018</v>
      </c>
      <c r="B47" s="350">
        <v>1.901</v>
      </c>
      <c r="C47" s="350">
        <v>1.228</v>
      </c>
      <c r="D47" s="350">
        <v>1.083</v>
      </c>
      <c r="E47" s="350">
        <v>1.0429999999999999</v>
      </c>
      <c r="F47" s="350">
        <v>1.028</v>
      </c>
      <c r="G47" s="350" t="s">
        <v>31</v>
      </c>
      <c r="H47" s="350" t="s">
        <v>31</v>
      </c>
      <c r="I47" s="350" t="s">
        <v>31</v>
      </c>
      <c r="J47" s="350" t="s">
        <v>31</v>
      </c>
      <c r="K47" s="350"/>
    </row>
    <row r="48" spans="1:23">
      <c r="A48" s="181">
        <f t="shared" si="2"/>
        <v>2019</v>
      </c>
      <c r="B48" s="350">
        <v>1.9</v>
      </c>
      <c r="C48" s="350">
        <v>1.2310000000000001</v>
      </c>
      <c r="D48" s="350">
        <v>1.1000000000000001</v>
      </c>
      <c r="E48" s="350">
        <v>1.052</v>
      </c>
      <c r="F48" s="350" t="s">
        <v>31</v>
      </c>
      <c r="G48" s="350" t="s">
        <v>31</v>
      </c>
      <c r="H48" s="350" t="s">
        <v>31</v>
      </c>
      <c r="I48" s="350" t="s">
        <v>31</v>
      </c>
      <c r="J48" s="350" t="s">
        <v>31</v>
      </c>
      <c r="K48" s="350"/>
    </row>
    <row r="49" spans="1:22">
      <c r="A49" s="181">
        <f t="shared" si="2"/>
        <v>2020</v>
      </c>
      <c r="B49" s="350">
        <v>1.8149999999999999</v>
      </c>
      <c r="C49" s="350">
        <v>1.238</v>
      </c>
      <c r="D49" s="350">
        <v>1.1100000000000001</v>
      </c>
      <c r="E49" s="350" t="s">
        <v>31</v>
      </c>
      <c r="F49" s="350" t="s">
        <v>31</v>
      </c>
      <c r="G49" s="350" t="s">
        <v>31</v>
      </c>
      <c r="H49" s="350" t="s">
        <v>31</v>
      </c>
      <c r="I49" s="350" t="s">
        <v>31</v>
      </c>
      <c r="J49" s="350" t="s">
        <v>31</v>
      </c>
      <c r="K49" s="350"/>
    </row>
    <row r="50" spans="1:22">
      <c r="A50" s="181">
        <f>+A49+1</f>
        <v>2021</v>
      </c>
      <c r="B50" s="350">
        <v>1.9079999999999999</v>
      </c>
      <c r="C50" s="350">
        <v>1.2529999999999999</v>
      </c>
      <c r="D50" s="350" t="s">
        <v>31</v>
      </c>
      <c r="E50" s="350" t="s">
        <v>31</v>
      </c>
      <c r="F50" s="350" t="s">
        <v>31</v>
      </c>
      <c r="G50" s="350" t="s">
        <v>31</v>
      </c>
      <c r="H50" s="350" t="s">
        <v>31</v>
      </c>
      <c r="I50" s="350" t="s">
        <v>31</v>
      </c>
      <c r="J50" s="350" t="s">
        <v>31</v>
      </c>
      <c r="K50" s="350"/>
    </row>
    <row r="51" spans="1:22">
      <c r="A51" s="181">
        <f t="shared" si="2"/>
        <v>2022</v>
      </c>
      <c r="B51" s="350">
        <v>1.94</v>
      </c>
      <c r="C51" s="350" t="s">
        <v>31</v>
      </c>
      <c r="D51" s="350" t="s">
        <v>31</v>
      </c>
      <c r="E51" s="350" t="s">
        <v>31</v>
      </c>
      <c r="F51" s="350" t="s">
        <v>31</v>
      </c>
      <c r="G51" s="350" t="s">
        <v>31</v>
      </c>
      <c r="H51" s="350" t="s">
        <v>31</v>
      </c>
      <c r="I51" s="350" t="s">
        <v>31</v>
      </c>
      <c r="J51" s="350" t="s">
        <v>31</v>
      </c>
      <c r="K51" s="350"/>
    </row>
    <row r="53" spans="1:22">
      <c r="A53" s="181" t="s">
        <v>369</v>
      </c>
      <c r="B53" s="351">
        <f ca="1">OFFSET(B$52,-COUNTA($B$40:B$40),0)</f>
        <v>1.94</v>
      </c>
      <c r="C53" s="351">
        <f ca="1">OFFSET(C$52,-COUNTA($B$40:C$40),0)</f>
        <v>1.2529999999999999</v>
      </c>
      <c r="D53" s="351">
        <f ca="1">OFFSET(D$52,-COUNTA($B$40:D$40),0)</f>
        <v>1.1100000000000001</v>
      </c>
      <c r="E53" s="351">
        <f ca="1">OFFSET(E$52,-COUNTA($B$40:E$40),0)</f>
        <v>1.052</v>
      </c>
      <c r="F53" s="351">
        <f ca="1">OFFSET(F$52,-COUNTA($B$40:F$40),0)</f>
        <v>1.028</v>
      </c>
      <c r="G53" s="351">
        <f ca="1">OFFSET(G$52,-COUNTA($B$40:G$40),0)</f>
        <v>1.016</v>
      </c>
      <c r="H53" s="351">
        <f ca="1">OFFSET(H$52,-COUNTA($B$40:H$40),0)</f>
        <v>1.0109999999999999</v>
      </c>
      <c r="I53" s="351">
        <f ca="1">OFFSET(I$52,-COUNTA($B$40:I$40),0)</f>
        <v>1.008</v>
      </c>
      <c r="J53" s="350">
        <v>1.0085</v>
      </c>
    </row>
    <row r="54" spans="1:22">
      <c r="A54" s="181" t="s">
        <v>21</v>
      </c>
      <c r="B54" s="351">
        <f t="shared" ref="B54:H54" ca="1" si="3">+B53*C54</f>
        <v>3.2281541221247281</v>
      </c>
      <c r="C54" s="351">
        <f t="shared" ca="1" si="3"/>
        <v>1.6639969701673856</v>
      </c>
      <c r="D54" s="351">
        <f t="shared" ca="1" si="3"/>
        <v>1.3280103512908106</v>
      </c>
      <c r="E54" s="351">
        <f t="shared" ca="1" si="3"/>
        <v>1.196405721883613</v>
      </c>
      <c r="F54" s="351">
        <f t="shared" ca="1" si="3"/>
        <v>1.1372677964673128</v>
      </c>
      <c r="G54" s="351">
        <f t="shared" ca="1" si="3"/>
        <v>1.106291630804779</v>
      </c>
      <c r="H54" s="351">
        <f t="shared" ca="1" si="3"/>
        <v>1.0888697153590343</v>
      </c>
      <c r="I54" s="351">
        <f ca="1">+I53*J54</f>
        <v>1.0770224682087384</v>
      </c>
      <c r="J54" s="351">
        <f ca="1">+K54*J53*AVERAGE(K41:K43)</f>
        <v>1.0684746708420023</v>
      </c>
      <c r="K54" s="351">
        <f t="shared" ref="K54:U54" ca="1" si="4">K34</f>
        <v>1.1077557392807622</v>
      </c>
      <c r="L54" s="351">
        <f t="shared" ca="1" si="4"/>
        <v>1.0928205254331753</v>
      </c>
      <c r="M54" s="351">
        <f t="shared" ca="1" si="4"/>
        <v>1.0805740198745966</v>
      </c>
      <c r="N54" s="351">
        <f t="shared" ca="1" si="4"/>
        <v>1.0691695447308014</v>
      </c>
      <c r="O54" s="351">
        <f t="shared" ca="1" si="4"/>
        <v>1.0599830251792479</v>
      </c>
      <c r="P54" s="351">
        <f t="shared" ca="1" si="4"/>
        <v>1.052266404876818</v>
      </c>
      <c r="Q54" s="351">
        <f t="shared" ca="1" si="4"/>
        <v>1.0456439929216477</v>
      </c>
      <c r="R54" s="351">
        <f t="shared" ca="1" si="4"/>
        <v>1.0400968099353258</v>
      </c>
      <c r="S54" s="351">
        <f t="shared" ca="1" si="4"/>
        <v>1.035265570605832</v>
      </c>
      <c r="T54" s="351">
        <f t="shared" ca="1" si="4"/>
        <v>1.0311410065795139</v>
      </c>
      <c r="U54" s="351">
        <f t="shared" ca="1" si="4"/>
        <v>1.0280568360713001</v>
      </c>
      <c r="V54" s="351">
        <f ca="1">V34</f>
        <v>1.0253226423583446</v>
      </c>
    </row>
    <row r="56" spans="1:22">
      <c r="A56" s="15" t="s">
        <v>356</v>
      </c>
      <c r="B56" s="77" t="s">
        <v>418</v>
      </c>
    </row>
    <row r="57" spans="1:22">
      <c r="A57" s="15" t="s">
        <v>357</v>
      </c>
      <c r="B57" s="77" t="s">
        <v>411</v>
      </c>
    </row>
    <row r="58" spans="1:22">
      <c r="A58" s="15" t="s">
        <v>320</v>
      </c>
      <c r="B58" s="77" t="s">
        <v>372</v>
      </c>
    </row>
  </sheetData>
  <pageMargins left="0.7" right="0.7" top="0.75" bottom="0.75" header="0.3" footer="0.3"/>
  <pageSetup scale="66" orientation="landscape" blackAndWhite="1" horizontalDpi="1200" verticalDpi="1200"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S34"/>
  <sheetViews>
    <sheetView zoomScaleNormal="100" zoomScaleSheetLayoutView="100" workbookViewId="0"/>
  </sheetViews>
  <sheetFormatPr defaultColWidth="9.140625" defaultRowHeight="12.75"/>
  <cols>
    <col min="1" max="1" width="13.5703125" style="77" bestFit="1" customWidth="1"/>
    <col min="2" max="2" width="8" style="77" customWidth="1"/>
    <col min="3" max="3" width="8" style="182" customWidth="1"/>
    <col min="4" max="4" width="8" style="77" customWidth="1"/>
    <col min="5" max="5" width="9.140625" style="77" customWidth="1"/>
    <col min="6" max="14" width="8" style="77" customWidth="1"/>
    <col min="15" max="17" width="8" style="199" customWidth="1"/>
    <col min="18" max="18" width="8" style="140" customWidth="1"/>
    <col min="19" max="19" width="14.85546875" style="77" bestFit="1" customWidth="1"/>
    <col min="20" max="16384" width="9.140625" style="77"/>
  </cols>
  <sheetData>
    <row r="1" spans="1:19" ht="12.75" customHeight="1">
      <c r="A1" s="189" t="str">
        <f>+'Exhibit 2.5.1'!A1&amp;" (Continued)"</f>
        <v>Selected Indemnity Development Factors - Paid to Ultimate (Continued)</v>
      </c>
      <c r="B1" s="189"/>
      <c r="C1" s="189"/>
      <c r="D1" s="189"/>
      <c r="E1" s="189"/>
      <c r="F1" s="189"/>
      <c r="G1" s="189"/>
      <c r="H1" s="189"/>
      <c r="I1" s="189"/>
      <c r="J1" s="189"/>
      <c r="K1" s="189"/>
      <c r="L1" s="189"/>
      <c r="M1" s="189"/>
      <c r="N1" s="189"/>
      <c r="O1" s="189"/>
      <c r="P1" s="189"/>
      <c r="Q1" s="189"/>
      <c r="R1" s="189"/>
      <c r="S1" s="189"/>
    </row>
    <row r="2" spans="1:19">
      <c r="A2" s="283"/>
      <c r="B2" s="196"/>
      <c r="C2" s="196"/>
      <c r="D2" s="196"/>
      <c r="E2" s="196"/>
      <c r="F2" s="196"/>
      <c r="G2" s="196"/>
      <c r="H2" s="196"/>
      <c r="I2" s="196"/>
      <c r="J2" s="196"/>
      <c r="K2" s="196"/>
      <c r="L2" s="196"/>
      <c r="M2" s="183"/>
      <c r="N2" s="196"/>
      <c r="O2" s="196"/>
      <c r="P2" s="196"/>
      <c r="Q2" s="196"/>
      <c r="R2" s="196"/>
      <c r="S2" s="196"/>
    </row>
    <row r="3" spans="1:19">
      <c r="A3" s="283"/>
      <c r="B3" s="190" t="s">
        <v>18</v>
      </c>
      <c r="C3" s="190"/>
      <c r="D3" s="190"/>
      <c r="E3" s="190"/>
      <c r="F3" s="190"/>
      <c r="G3" s="190"/>
      <c r="H3" s="190"/>
      <c r="I3" s="190"/>
      <c r="J3" s="190"/>
      <c r="K3" s="190"/>
      <c r="L3" s="190"/>
      <c r="M3" s="190"/>
      <c r="N3" s="190"/>
      <c r="O3" s="190"/>
      <c r="P3" s="190"/>
      <c r="Q3" s="190"/>
      <c r="R3" s="190"/>
      <c r="S3" s="190"/>
    </row>
    <row r="4" spans="1:19">
      <c r="A4" s="184" t="s">
        <v>19</v>
      </c>
      <c r="B4" s="184" t="str">
        <f>LEFT('Exhibit 2.5.1'!V4,3)+12&amp;"/"&amp;RIGHT('Exhibit 2.5.1'!V4,3)+12</f>
        <v>276/264</v>
      </c>
      <c r="C4" s="184" t="str">
        <f t="shared" ref="C4" si="0">LEFT(B4,3)+12&amp;"/"&amp;RIGHT(B4,3)+12</f>
        <v>288/276</v>
      </c>
      <c r="D4" s="184" t="str">
        <f t="shared" ref="D4" si="1">LEFT(C4,3)+12&amp;"/"&amp;RIGHT(C4,3)+12</f>
        <v>300/288</v>
      </c>
      <c r="E4" s="184" t="str">
        <f t="shared" ref="E4" si="2">LEFT(D4,3)+12&amp;"/"&amp;RIGHT(D4,3)+12</f>
        <v>312/300</v>
      </c>
      <c r="F4" s="184" t="str">
        <f t="shared" ref="F4:M4" si="3">LEFT(E4,3)+12&amp;"/"&amp;RIGHT(E4,3)+12</f>
        <v>324/312</v>
      </c>
      <c r="G4" s="184" t="str">
        <f t="shared" si="3"/>
        <v>336/324</v>
      </c>
      <c r="H4" s="184" t="str">
        <f t="shared" si="3"/>
        <v>348/336</v>
      </c>
      <c r="I4" s="184" t="str">
        <f t="shared" si="3"/>
        <v>360/348</v>
      </c>
      <c r="J4" s="184" t="str">
        <f t="shared" si="3"/>
        <v>372/360</v>
      </c>
      <c r="K4" s="184" t="str">
        <f t="shared" si="3"/>
        <v>384/372</v>
      </c>
      <c r="L4" s="184" t="str">
        <f t="shared" si="3"/>
        <v>396/384</v>
      </c>
      <c r="M4" s="184" t="str">
        <f t="shared" si="3"/>
        <v>408/396</v>
      </c>
      <c r="N4" s="184" t="str">
        <f t="shared" ref="N4" si="4">LEFT(M4,3)+12&amp;"/"&amp;RIGHT(M4,3)+12</f>
        <v>420/408</v>
      </c>
      <c r="O4" s="184" t="str">
        <f t="shared" ref="O4" si="5">LEFT(N4,3)+12&amp;"/"&amp;RIGHT(N4,3)+12</f>
        <v>432/420</v>
      </c>
      <c r="P4" s="184" t="str">
        <f t="shared" ref="P4" si="6">LEFT(O4,3)+12&amp;"/"&amp;RIGHT(O4,3)+12</f>
        <v>444/432</v>
      </c>
      <c r="Q4" s="184" t="str">
        <f t="shared" ref="Q4" si="7">LEFT(P4,3)+12&amp;"/"&amp;RIGHT(P4,3)+12</f>
        <v>456/444</v>
      </c>
      <c r="R4" s="184" t="str">
        <f t="shared" ref="R4" si="8">LEFT(Q4,3)+12&amp;"/"&amp;RIGHT(Q4,3)+12</f>
        <v>468/456</v>
      </c>
      <c r="S4" s="184" t="str">
        <f>"ULT/"&amp;LEFT(R4,3)&amp;"Pd (e)"</f>
        <v>ULT/468Pd (e)</v>
      </c>
    </row>
    <row r="5" spans="1:19">
      <c r="A5" s="181">
        <f t="shared" ref="A5:A22" si="9">+A6-1</f>
        <v>1983</v>
      </c>
      <c r="B5" s="350" t="s">
        <v>31</v>
      </c>
      <c r="C5" s="350" t="s">
        <v>31</v>
      </c>
      <c r="D5" s="350" t="s">
        <v>31</v>
      </c>
      <c r="E5" s="350" t="s">
        <v>31</v>
      </c>
      <c r="F5" s="350" t="s">
        <v>31</v>
      </c>
      <c r="G5" s="350">
        <v>1.0009999999999999</v>
      </c>
      <c r="H5" s="350">
        <v>1.0009999999999999</v>
      </c>
      <c r="I5" s="350">
        <v>1.0009999999999999</v>
      </c>
      <c r="J5" s="350">
        <v>1.0009999999999999</v>
      </c>
      <c r="K5" s="350">
        <v>1.0009999999999999</v>
      </c>
      <c r="L5" s="350">
        <v>1.0009999999999999</v>
      </c>
      <c r="M5" s="350">
        <v>1.0009999999999999</v>
      </c>
      <c r="N5" s="350">
        <v>1.0009999999999999</v>
      </c>
      <c r="O5" s="350">
        <v>1.0009999999999999</v>
      </c>
      <c r="P5" s="350">
        <v>1.0009999999999999</v>
      </c>
      <c r="Q5" s="350">
        <v>1</v>
      </c>
      <c r="R5" s="350">
        <v>1.0009999999999999</v>
      </c>
      <c r="S5" s="183"/>
    </row>
    <row r="6" spans="1:19" s="199" customFormat="1">
      <c r="A6" s="181">
        <f t="shared" si="9"/>
        <v>1984</v>
      </c>
      <c r="B6" s="350" t="s">
        <v>31</v>
      </c>
      <c r="C6" s="350" t="s">
        <v>31</v>
      </c>
      <c r="D6" s="350" t="s">
        <v>31</v>
      </c>
      <c r="E6" s="350" t="s">
        <v>31</v>
      </c>
      <c r="F6" s="350">
        <v>1.0009999999999999</v>
      </c>
      <c r="G6" s="350">
        <v>1.0009999999999999</v>
      </c>
      <c r="H6" s="350">
        <v>1.0009999999999999</v>
      </c>
      <c r="I6" s="350">
        <v>1.0009999999999999</v>
      </c>
      <c r="J6" s="350">
        <v>1.0009999999999999</v>
      </c>
      <c r="K6" s="350">
        <v>1</v>
      </c>
      <c r="L6" s="350">
        <v>1.0009999999999999</v>
      </c>
      <c r="M6" s="350">
        <v>1</v>
      </c>
      <c r="N6" s="350">
        <v>1.0009999999999999</v>
      </c>
      <c r="O6" s="350">
        <v>1.0009999999999999</v>
      </c>
      <c r="P6" s="350">
        <v>1</v>
      </c>
      <c r="Q6" s="350">
        <v>1.0009999999999999</v>
      </c>
      <c r="R6" s="350">
        <v>1</v>
      </c>
      <c r="S6" s="183"/>
    </row>
    <row r="7" spans="1:19" s="199" customFormat="1">
      <c r="A7" s="181">
        <f t="shared" si="9"/>
        <v>1985</v>
      </c>
      <c r="B7" s="350" t="s">
        <v>31</v>
      </c>
      <c r="C7" s="350" t="s">
        <v>31</v>
      </c>
      <c r="D7" s="350" t="s">
        <v>31</v>
      </c>
      <c r="E7" s="350">
        <v>1.0009999999999999</v>
      </c>
      <c r="F7" s="350">
        <v>1.0009999999999999</v>
      </c>
      <c r="G7" s="350">
        <v>1.0009999999999999</v>
      </c>
      <c r="H7" s="350">
        <v>1.002</v>
      </c>
      <c r="I7" s="350">
        <v>1.0009999999999999</v>
      </c>
      <c r="J7" s="350">
        <v>1.0009999999999999</v>
      </c>
      <c r="K7" s="350">
        <v>1.0009999999999999</v>
      </c>
      <c r="L7" s="350">
        <v>1.0009999999999999</v>
      </c>
      <c r="M7" s="350">
        <v>1</v>
      </c>
      <c r="N7" s="350">
        <v>1</v>
      </c>
      <c r="O7" s="350">
        <v>1</v>
      </c>
      <c r="P7" s="350">
        <v>1.0009999999999999</v>
      </c>
      <c r="Q7" s="350">
        <v>1</v>
      </c>
      <c r="R7" s="350">
        <v>1</v>
      </c>
      <c r="S7" s="183"/>
    </row>
    <row r="8" spans="1:19" s="145" customFormat="1">
      <c r="A8" s="181">
        <f t="shared" si="9"/>
        <v>1986</v>
      </c>
      <c r="B8" s="350" t="s">
        <v>31</v>
      </c>
      <c r="C8" s="350" t="s">
        <v>31</v>
      </c>
      <c r="D8" s="350">
        <v>1.0009999999999999</v>
      </c>
      <c r="E8" s="350">
        <v>1.0009999999999999</v>
      </c>
      <c r="F8" s="350">
        <v>1.0009999999999999</v>
      </c>
      <c r="G8" s="350">
        <v>1.0009999999999999</v>
      </c>
      <c r="H8" s="350">
        <v>1.0009999999999999</v>
      </c>
      <c r="I8" s="350">
        <v>1.0009999999999999</v>
      </c>
      <c r="J8" s="350">
        <v>1.0009999999999999</v>
      </c>
      <c r="K8" s="350">
        <v>1.0009999999999999</v>
      </c>
      <c r="L8" s="350">
        <v>1</v>
      </c>
      <c r="M8" s="350">
        <v>1.0009999999999999</v>
      </c>
      <c r="N8" s="350">
        <v>1.0009999999999999</v>
      </c>
      <c r="O8" s="350">
        <v>1</v>
      </c>
      <c r="P8" s="350">
        <v>1</v>
      </c>
      <c r="Q8" s="350">
        <v>1</v>
      </c>
      <c r="R8" s="350" t="s">
        <v>31</v>
      </c>
      <c r="S8" s="183"/>
    </row>
    <row r="9" spans="1:19">
      <c r="A9" s="181">
        <f t="shared" si="9"/>
        <v>1987</v>
      </c>
      <c r="B9" s="350" t="s">
        <v>31</v>
      </c>
      <c r="C9" s="350">
        <v>1.0009999999999999</v>
      </c>
      <c r="D9" s="350">
        <v>1.0009999999999999</v>
      </c>
      <c r="E9" s="350">
        <v>1.002</v>
      </c>
      <c r="F9" s="350">
        <v>1.0009999999999999</v>
      </c>
      <c r="G9" s="350">
        <v>1.0009999999999999</v>
      </c>
      <c r="H9" s="350">
        <v>1.0009999999999999</v>
      </c>
      <c r="I9" s="350">
        <v>1.0009999999999999</v>
      </c>
      <c r="J9" s="350">
        <v>1.0009999999999999</v>
      </c>
      <c r="K9" s="350">
        <v>1.0009999999999999</v>
      </c>
      <c r="L9" s="350">
        <v>1.0009999999999999</v>
      </c>
      <c r="M9" s="350">
        <v>1.0009999999999999</v>
      </c>
      <c r="N9" s="350">
        <v>1</v>
      </c>
      <c r="O9" s="350">
        <v>1</v>
      </c>
      <c r="P9" s="350">
        <v>1.0009999999999999</v>
      </c>
      <c r="Q9" s="350" t="s">
        <v>31</v>
      </c>
      <c r="R9" s="350" t="s">
        <v>31</v>
      </c>
      <c r="S9" s="183"/>
    </row>
    <row r="10" spans="1:19">
      <c r="A10" s="181">
        <f t="shared" si="9"/>
        <v>1988</v>
      </c>
      <c r="B10" s="350">
        <v>1.0009999999999999</v>
      </c>
      <c r="C10" s="350">
        <v>1.002</v>
      </c>
      <c r="D10" s="350">
        <v>1.0009999999999999</v>
      </c>
      <c r="E10" s="350">
        <v>1.0009999999999999</v>
      </c>
      <c r="F10" s="350">
        <v>1.0009999999999999</v>
      </c>
      <c r="G10" s="350">
        <v>1.0009999999999999</v>
      </c>
      <c r="H10" s="350">
        <v>1.0009999999999999</v>
      </c>
      <c r="I10" s="350">
        <v>1.0009999999999999</v>
      </c>
      <c r="J10" s="350">
        <v>1.0009999999999999</v>
      </c>
      <c r="K10" s="350">
        <v>1.0009999999999999</v>
      </c>
      <c r="L10" s="350">
        <v>1.0009999999999999</v>
      </c>
      <c r="M10" s="350">
        <v>1.0009999999999999</v>
      </c>
      <c r="N10" s="350">
        <v>1.0009999999999999</v>
      </c>
      <c r="O10" s="350">
        <v>1</v>
      </c>
      <c r="P10" s="350" t="s">
        <v>31</v>
      </c>
      <c r="Q10" s="350" t="s">
        <v>31</v>
      </c>
      <c r="R10" s="350" t="s">
        <v>31</v>
      </c>
      <c r="S10" s="183"/>
    </row>
    <row r="11" spans="1:19">
      <c r="A11" s="181">
        <f t="shared" si="9"/>
        <v>1989</v>
      </c>
      <c r="B11" s="350">
        <v>1.0009999999999999</v>
      </c>
      <c r="C11" s="350">
        <v>1.0009999999999999</v>
      </c>
      <c r="D11" s="350">
        <v>1.0009999999999999</v>
      </c>
      <c r="E11" s="350">
        <v>1.0009999999999999</v>
      </c>
      <c r="F11" s="350">
        <v>1.0009999999999999</v>
      </c>
      <c r="G11" s="350">
        <v>1.0009999999999999</v>
      </c>
      <c r="H11" s="350">
        <v>1.0009999999999999</v>
      </c>
      <c r="I11" s="350">
        <v>1.0009999999999999</v>
      </c>
      <c r="J11" s="350">
        <v>1.0009999999999999</v>
      </c>
      <c r="K11" s="350">
        <v>1</v>
      </c>
      <c r="L11" s="350">
        <v>1</v>
      </c>
      <c r="M11" s="350">
        <v>1</v>
      </c>
      <c r="N11" s="350">
        <v>1</v>
      </c>
      <c r="O11" s="350" t="s">
        <v>31</v>
      </c>
      <c r="P11" s="350" t="s">
        <v>31</v>
      </c>
      <c r="Q11" s="350" t="s">
        <v>31</v>
      </c>
      <c r="R11" s="350" t="s">
        <v>31</v>
      </c>
      <c r="S11" s="183"/>
    </row>
    <row r="12" spans="1:19">
      <c r="A12" s="181">
        <f t="shared" si="9"/>
        <v>1990</v>
      </c>
      <c r="B12" s="350">
        <v>1.0009999999999999</v>
      </c>
      <c r="C12" s="350">
        <v>1.0009999999999999</v>
      </c>
      <c r="D12" s="350">
        <v>1.0009999999999999</v>
      </c>
      <c r="E12" s="350">
        <v>1.0009999999999999</v>
      </c>
      <c r="F12" s="350">
        <v>1</v>
      </c>
      <c r="G12" s="350">
        <v>1</v>
      </c>
      <c r="H12" s="350">
        <v>1.0009999999999999</v>
      </c>
      <c r="I12" s="350">
        <v>1.0009999999999999</v>
      </c>
      <c r="J12" s="350">
        <v>1.0009999999999999</v>
      </c>
      <c r="K12" s="350">
        <v>1.0009999999999999</v>
      </c>
      <c r="L12" s="350">
        <v>1</v>
      </c>
      <c r="M12" s="350">
        <v>1</v>
      </c>
      <c r="N12" s="350" t="s">
        <v>31</v>
      </c>
      <c r="O12" s="350" t="s">
        <v>31</v>
      </c>
      <c r="P12" s="350" t="s">
        <v>31</v>
      </c>
      <c r="Q12" s="350" t="s">
        <v>31</v>
      </c>
      <c r="R12" s="350" t="s">
        <v>31</v>
      </c>
      <c r="S12" s="183"/>
    </row>
    <row r="13" spans="1:19">
      <c r="A13" s="181">
        <f t="shared" si="9"/>
        <v>1991</v>
      </c>
      <c r="B13" s="350">
        <v>1.0009999999999999</v>
      </c>
      <c r="C13" s="350">
        <v>1.0009999999999999</v>
      </c>
      <c r="D13" s="350">
        <v>1.0009999999999999</v>
      </c>
      <c r="E13" s="350">
        <v>1.0009999999999999</v>
      </c>
      <c r="F13" s="350">
        <v>1.0009999999999999</v>
      </c>
      <c r="G13" s="350">
        <v>1.0009999999999999</v>
      </c>
      <c r="H13" s="350">
        <v>1.0009999999999999</v>
      </c>
      <c r="I13" s="350">
        <v>1.0009999999999999</v>
      </c>
      <c r="J13" s="350">
        <v>1.0009999999999999</v>
      </c>
      <c r="K13" s="350">
        <v>1.0009999999999999</v>
      </c>
      <c r="L13" s="350">
        <v>1</v>
      </c>
      <c r="M13" s="350" t="s">
        <v>31</v>
      </c>
      <c r="N13" s="350" t="s">
        <v>31</v>
      </c>
      <c r="O13" s="350" t="s">
        <v>31</v>
      </c>
      <c r="P13" s="350" t="s">
        <v>31</v>
      </c>
      <c r="Q13" s="350" t="s">
        <v>31</v>
      </c>
      <c r="R13" s="350" t="s">
        <v>31</v>
      </c>
      <c r="S13" s="183"/>
    </row>
    <row r="14" spans="1:19">
      <c r="A14" s="181">
        <f t="shared" si="9"/>
        <v>1992</v>
      </c>
      <c r="B14" s="350">
        <v>1.0009999999999999</v>
      </c>
      <c r="C14" s="350">
        <v>1.0009999999999999</v>
      </c>
      <c r="D14" s="350">
        <v>1.0009999999999999</v>
      </c>
      <c r="E14" s="350">
        <v>1.0009999999999999</v>
      </c>
      <c r="F14" s="350">
        <v>1.0009999999999999</v>
      </c>
      <c r="G14" s="350">
        <v>1.0009999999999999</v>
      </c>
      <c r="H14" s="350">
        <v>1.0009999999999999</v>
      </c>
      <c r="I14" s="350">
        <v>1.0009999999999999</v>
      </c>
      <c r="J14" s="350">
        <v>1.0009999999999999</v>
      </c>
      <c r="K14" s="350">
        <v>1.0009999999999999</v>
      </c>
      <c r="L14" s="350" t="s">
        <v>31</v>
      </c>
      <c r="M14" s="350" t="s">
        <v>31</v>
      </c>
      <c r="N14" s="350" t="s">
        <v>31</v>
      </c>
      <c r="O14" s="350" t="s">
        <v>31</v>
      </c>
      <c r="P14" s="350" t="s">
        <v>31</v>
      </c>
      <c r="Q14" s="350" t="s">
        <v>31</v>
      </c>
      <c r="R14" s="350" t="s">
        <v>31</v>
      </c>
      <c r="S14" s="183"/>
    </row>
    <row r="15" spans="1:19">
      <c r="A15" s="181">
        <f t="shared" si="9"/>
        <v>1993</v>
      </c>
      <c r="B15" s="350">
        <v>1.0009999999999999</v>
      </c>
      <c r="C15" s="350">
        <v>1.0009999999999999</v>
      </c>
      <c r="D15" s="350">
        <v>1.0009999999999999</v>
      </c>
      <c r="E15" s="350">
        <v>1.0009999999999999</v>
      </c>
      <c r="F15" s="350">
        <v>1.0009999999999999</v>
      </c>
      <c r="G15" s="350">
        <v>1.0009999999999999</v>
      </c>
      <c r="H15" s="350">
        <v>1.0009999999999999</v>
      </c>
      <c r="I15" s="350">
        <v>1.0009999999999999</v>
      </c>
      <c r="J15" s="350">
        <v>1.0009999999999999</v>
      </c>
      <c r="K15" s="350" t="s">
        <v>31</v>
      </c>
      <c r="L15" s="350" t="s">
        <v>31</v>
      </c>
      <c r="M15" s="350" t="s">
        <v>31</v>
      </c>
      <c r="N15" s="350" t="s">
        <v>31</v>
      </c>
      <c r="O15" s="350" t="s">
        <v>31</v>
      </c>
      <c r="P15" s="350" t="s">
        <v>31</v>
      </c>
      <c r="Q15" s="350" t="s">
        <v>31</v>
      </c>
      <c r="R15" s="350" t="s">
        <v>31</v>
      </c>
      <c r="S15" s="183"/>
    </row>
    <row r="16" spans="1:19">
      <c r="A16" s="181">
        <f t="shared" si="9"/>
        <v>1994</v>
      </c>
      <c r="B16" s="350">
        <v>1.002</v>
      </c>
      <c r="C16" s="350">
        <v>1.002</v>
      </c>
      <c r="D16" s="350">
        <v>1.0009999999999999</v>
      </c>
      <c r="E16" s="350">
        <v>1.0009999999999999</v>
      </c>
      <c r="F16" s="350">
        <v>1.0009999999999999</v>
      </c>
      <c r="G16" s="350">
        <v>1.002</v>
      </c>
      <c r="H16" s="350">
        <v>1.0009999999999999</v>
      </c>
      <c r="I16" s="350">
        <v>1.0009999999999999</v>
      </c>
      <c r="J16" s="350" t="s">
        <v>31</v>
      </c>
      <c r="K16" s="350" t="s">
        <v>31</v>
      </c>
      <c r="L16" s="350" t="s">
        <v>31</v>
      </c>
      <c r="M16" s="350" t="s">
        <v>31</v>
      </c>
      <c r="N16" s="350" t="s">
        <v>31</v>
      </c>
      <c r="O16" s="350" t="s">
        <v>31</v>
      </c>
      <c r="P16" s="350" t="s">
        <v>31</v>
      </c>
      <c r="Q16" s="350" t="s">
        <v>31</v>
      </c>
      <c r="R16" s="350" t="s">
        <v>31</v>
      </c>
      <c r="S16" s="183"/>
    </row>
    <row r="17" spans="1:19">
      <c r="A17" s="181">
        <f t="shared" si="9"/>
        <v>1995</v>
      </c>
      <c r="B17" s="350">
        <v>1.002</v>
      </c>
      <c r="C17" s="350">
        <v>1.002</v>
      </c>
      <c r="D17" s="350">
        <v>1.0029999999999999</v>
      </c>
      <c r="E17" s="350">
        <v>1.002</v>
      </c>
      <c r="F17" s="350">
        <v>1.002</v>
      </c>
      <c r="G17" s="350">
        <v>1.002</v>
      </c>
      <c r="H17" s="350">
        <v>1.0009999999999999</v>
      </c>
      <c r="I17" s="350" t="s">
        <v>31</v>
      </c>
      <c r="J17" s="350" t="s">
        <v>31</v>
      </c>
      <c r="K17" s="350" t="s">
        <v>31</v>
      </c>
      <c r="L17" s="350" t="s">
        <v>31</v>
      </c>
      <c r="M17" s="350" t="s">
        <v>31</v>
      </c>
      <c r="N17" s="350" t="s">
        <v>31</v>
      </c>
      <c r="O17" s="350" t="s">
        <v>31</v>
      </c>
      <c r="P17" s="350" t="s">
        <v>31</v>
      </c>
      <c r="Q17" s="350" t="s">
        <v>31</v>
      </c>
      <c r="R17" s="350" t="s">
        <v>31</v>
      </c>
      <c r="S17" s="183"/>
    </row>
    <row r="18" spans="1:19">
      <c r="A18" s="181">
        <f t="shared" si="9"/>
        <v>1996</v>
      </c>
      <c r="B18" s="350">
        <v>1.0029999999999999</v>
      </c>
      <c r="C18" s="350">
        <v>1.0029999999999999</v>
      </c>
      <c r="D18" s="350">
        <v>1.002</v>
      </c>
      <c r="E18" s="350">
        <v>1.002</v>
      </c>
      <c r="F18" s="350">
        <v>1.002</v>
      </c>
      <c r="G18" s="350">
        <v>1.0009999999999999</v>
      </c>
      <c r="H18" s="350" t="s">
        <v>31</v>
      </c>
      <c r="I18" s="350" t="s">
        <v>31</v>
      </c>
      <c r="J18" s="350" t="s">
        <v>31</v>
      </c>
      <c r="K18" s="350" t="s">
        <v>31</v>
      </c>
      <c r="L18" s="350" t="s">
        <v>31</v>
      </c>
      <c r="M18" s="350" t="s">
        <v>31</v>
      </c>
      <c r="N18" s="350" t="s">
        <v>31</v>
      </c>
      <c r="O18" s="350" t="s">
        <v>31</v>
      </c>
      <c r="P18" s="350" t="s">
        <v>31</v>
      </c>
      <c r="Q18" s="350" t="s">
        <v>31</v>
      </c>
      <c r="R18" s="350" t="s">
        <v>31</v>
      </c>
      <c r="S18" s="183"/>
    </row>
    <row r="19" spans="1:19">
      <c r="A19" s="181">
        <f t="shared" si="9"/>
        <v>1997</v>
      </c>
      <c r="B19" s="350">
        <v>1.0029999999999999</v>
      </c>
      <c r="C19" s="350">
        <v>1.0029999999999999</v>
      </c>
      <c r="D19" s="350">
        <v>1.002</v>
      </c>
      <c r="E19" s="350">
        <v>1.002</v>
      </c>
      <c r="F19" s="350">
        <v>1.002</v>
      </c>
      <c r="G19" s="350" t="s">
        <v>31</v>
      </c>
      <c r="H19" s="350" t="s">
        <v>31</v>
      </c>
      <c r="I19" s="350" t="s">
        <v>31</v>
      </c>
      <c r="J19" s="350" t="s">
        <v>31</v>
      </c>
      <c r="K19" s="350" t="s">
        <v>31</v>
      </c>
      <c r="L19" s="350" t="s">
        <v>31</v>
      </c>
      <c r="M19" s="350" t="s">
        <v>31</v>
      </c>
      <c r="N19" s="350" t="s">
        <v>31</v>
      </c>
      <c r="O19" s="350" t="s">
        <v>31</v>
      </c>
      <c r="P19" s="350" t="s">
        <v>31</v>
      </c>
      <c r="Q19" s="350" t="s">
        <v>31</v>
      </c>
      <c r="R19" s="350" t="s">
        <v>31</v>
      </c>
      <c r="S19" s="183"/>
    </row>
    <row r="20" spans="1:19">
      <c r="A20" s="181">
        <f t="shared" si="9"/>
        <v>1998</v>
      </c>
      <c r="B20" s="350">
        <v>1.0029999999999999</v>
      </c>
      <c r="C20" s="350">
        <v>1.002</v>
      </c>
      <c r="D20" s="350">
        <v>1.002</v>
      </c>
      <c r="E20" s="350">
        <v>1.0009999999999999</v>
      </c>
      <c r="F20" s="350" t="s">
        <v>31</v>
      </c>
      <c r="G20" s="350" t="s">
        <v>31</v>
      </c>
      <c r="H20" s="350" t="s">
        <v>31</v>
      </c>
      <c r="I20" s="350" t="s">
        <v>31</v>
      </c>
      <c r="J20" s="350" t="s">
        <v>31</v>
      </c>
      <c r="K20" s="350" t="s">
        <v>31</v>
      </c>
      <c r="L20" s="350" t="s">
        <v>31</v>
      </c>
      <c r="M20" s="350" t="s">
        <v>31</v>
      </c>
      <c r="N20" s="350" t="s">
        <v>31</v>
      </c>
      <c r="O20" s="350" t="s">
        <v>31</v>
      </c>
      <c r="P20" s="350" t="s">
        <v>31</v>
      </c>
      <c r="Q20" s="350" t="s">
        <v>31</v>
      </c>
      <c r="R20" s="350" t="s">
        <v>31</v>
      </c>
      <c r="S20" s="183"/>
    </row>
    <row r="21" spans="1:19">
      <c r="A21" s="181">
        <f t="shared" si="9"/>
        <v>1999</v>
      </c>
      <c r="B21" s="350">
        <v>1.002</v>
      </c>
      <c r="C21" s="350">
        <v>1.002</v>
      </c>
      <c r="D21" s="350">
        <v>1.0009999999999999</v>
      </c>
      <c r="E21" s="350" t="s">
        <v>31</v>
      </c>
      <c r="F21" s="350" t="s">
        <v>31</v>
      </c>
      <c r="G21" s="350" t="s">
        <v>31</v>
      </c>
      <c r="H21" s="350" t="s">
        <v>31</v>
      </c>
      <c r="I21" s="350" t="s">
        <v>31</v>
      </c>
      <c r="J21" s="350" t="s">
        <v>31</v>
      </c>
      <c r="K21" s="350" t="s">
        <v>31</v>
      </c>
      <c r="L21" s="350" t="s">
        <v>31</v>
      </c>
      <c r="M21" s="350" t="s">
        <v>31</v>
      </c>
      <c r="N21" s="350" t="s">
        <v>31</v>
      </c>
      <c r="O21" s="350" t="s">
        <v>31</v>
      </c>
      <c r="P21" s="350" t="s">
        <v>31</v>
      </c>
      <c r="Q21" s="350" t="s">
        <v>31</v>
      </c>
      <c r="R21" s="350" t="s">
        <v>31</v>
      </c>
      <c r="S21" s="183"/>
    </row>
    <row r="22" spans="1:19" s="199" customFormat="1">
      <c r="A22" s="181">
        <f t="shared" si="9"/>
        <v>2000</v>
      </c>
      <c r="B22" s="350">
        <v>1.002</v>
      </c>
      <c r="C22" s="350">
        <v>1.002</v>
      </c>
      <c r="D22" s="350" t="s">
        <v>31</v>
      </c>
      <c r="E22" s="350" t="s">
        <v>31</v>
      </c>
      <c r="F22" s="350" t="s">
        <v>31</v>
      </c>
      <c r="G22" s="350" t="s">
        <v>31</v>
      </c>
      <c r="H22" s="350" t="s">
        <v>31</v>
      </c>
      <c r="I22" s="350" t="s">
        <v>31</v>
      </c>
      <c r="J22" s="350" t="s">
        <v>31</v>
      </c>
      <c r="K22" s="350" t="s">
        <v>31</v>
      </c>
      <c r="L22" s="350" t="s">
        <v>31</v>
      </c>
      <c r="M22" s="350" t="s">
        <v>31</v>
      </c>
      <c r="N22" s="350" t="s">
        <v>31</v>
      </c>
      <c r="O22" s="350" t="s">
        <v>31</v>
      </c>
      <c r="P22" s="350" t="s">
        <v>31</v>
      </c>
      <c r="Q22" s="350" t="s">
        <v>31</v>
      </c>
      <c r="R22" s="350" t="s">
        <v>31</v>
      </c>
      <c r="S22" s="183"/>
    </row>
    <row r="23" spans="1:19">
      <c r="A23" s="181">
        <f>'Exhibit 2.5.1'!A10</f>
        <v>2001</v>
      </c>
      <c r="B23" s="350">
        <v>1.002</v>
      </c>
      <c r="C23" s="350" t="s">
        <v>31</v>
      </c>
      <c r="D23" s="350" t="s">
        <v>31</v>
      </c>
      <c r="E23" s="350" t="s">
        <v>31</v>
      </c>
      <c r="F23" s="350" t="s">
        <v>31</v>
      </c>
      <c r="G23" s="350" t="s">
        <v>31</v>
      </c>
      <c r="H23" s="350" t="s">
        <v>31</v>
      </c>
      <c r="I23" s="350" t="s">
        <v>31</v>
      </c>
      <c r="J23" s="350" t="s">
        <v>31</v>
      </c>
      <c r="K23" s="350" t="s">
        <v>31</v>
      </c>
      <c r="L23" s="350" t="s">
        <v>31</v>
      </c>
      <c r="M23" s="350" t="s">
        <v>31</v>
      </c>
      <c r="N23" s="350" t="s">
        <v>31</v>
      </c>
      <c r="O23" s="350" t="s">
        <v>31</v>
      </c>
      <c r="P23" s="350" t="s">
        <v>31</v>
      </c>
      <c r="Q23" s="350" t="s">
        <v>31</v>
      </c>
      <c r="R23" s="350" t="s">
        <v>31</v>
      </c>
      <c r="S23" s="183"/>
    </row>
    <row r="24" spans="1:19">
      <c r="A24" s="181"/>
      <c r="B24" s="183"/>
      <c r="C24" s="183"/>
      <c r="D24" s="183"/>
      <c r="E24" s="183"/>
      <c r="F24" s="183"/>
      <c r="G24" s="183"/>
      <c r="H24" s="183"/>
      <c r="I24" s="183"/>
      <c r="J24" s="183"/>
      <c r="K24" s="183"/>
      <c r="L24" s="183"/>
      <c r="M24" s="183"/>
      <c r="N24" s="183"/>
      <c r="O24" s="183"/>
      <c r="P24" s="183"/>
      <c r="Q24" s="183"/>
      <c r="R24" s="183"/>
      <c r="S24" s="183"/>
    </row>
    <row r="25" spans="1:19">
      <c r="A25" s="283"/>
      <c r="B25" s="183"/>
      <c r="C25" s="183"/>
      <c r="D25" s="183"/>
      <c r="E25" s="183"/>
      <c r="F25" s="183"/>
      <c r="G25" s="183"/>
      <c r="H25" s="183"/>
      <c r="I25" s="183"/>
      <c r="J25" s="183"/>
      <c r="K25" s="183"/>
      <c r="L25" s="183"/>
      <c r="M25" s="183"/>
      <c r="N25" s="183"/>
      <c r="O25" s="183"/>
      <c r="P25" s="183"/>
      <c r="Q25" s="183"/>
      <c r="R25" s="183"/>
      <c r="S25" s="183"/>
    </row>
    <row r="26" spans="1:19" s="150" customFormat="1">
      <c r="A26" s="181" t="s">
        <v>50</v>
      </c>
      <c r="B26" s="351">
        <f ca="1">AVERAGE(OFFSET(B$22:B$24,-COUNTA($B$4:B$4),0))</f>
        <v>1.002</v>
      </c>
      <c r="C26" s="351">
        <f ca="1">AVERAGE(OFFSET(C$22:C$24,-COUNTA($B$4:C$4),0))</f>
        <v>1.002</v>
      </c>
      <c r="D26" s="351">
        <f ca="1">AVERAGE(OFFSET(D$22:D$24,-COUNTA($B$4:D$4),0))</f>
        <v>1.0016666666666667</v>
      </c>
      <c r="E26" s="351">
        <f ca="1">AVERAGE(OFFSET(E$22:E$24,-COUNTA($B$4:E$4),0))</f>
        <v>1.0016666666666667</v>
      </c>
      <c r="F26" s="351">
        <f ca="1">AVERAGE(OFFSET(F$22:F$24,-COUNTA($B$4:F$4),0))</f>
        <v>1.002</v>
      </c>
      <c r="G26" s="351">
        <f ca="1">AVERAGE(OFFSET(G$22:G$24,-COUNTA($B$4:G$4),0))</f>
        <v>1.0016666666666667</v>
      </c>
      <c r="H26" s="351">
        <f ca="1">AVERAGE(OFFSET(H$22:H$24,-COUNTA($B$4:H$4),0))</f>
        <v>1.0009999999999999</v>
      </c>
      <c r="I26" s="351">
        <f ca="1">AVERAGE(OFFSET(I$22:I$24,-COUNTA($B$4:I$4),0))</f>
        <v>1.0009999999999999</v>
      </c>
      <c r="J26" s="351">
        <f ca="1">AVERAGE(OFFSET(J$22:J$24,-COUNTA($B$4:J$4),0))</f>
        <v>1.0009999999999999</v>
      </c>
      <c r="K26" s="351">
        <f ca="1">AVERAGE(OFFSET(K$22:K$24,-COUNTA($B$4:K$4),0))</f>
        <v>1.0009999999999999</v>
      </c>
      <c r="L26" s="351">
        <f ca="1">AVERAGE(OFFSET(L$22:L$24,-COUNTA($B$4:L$4),0))</f>
        <v>1</v>
      </c>
      <c r="M26" s="351">
        <f ca="1">AVERAGE(OFFSET(M$22:M$24,-COUNTA($B$4:M$4),0))</f>
        <v>1.0003333333333333</v>
      </c>
      <c r="N26" s="351">
        <f ca="1">AVERAGE(OFFSET(N$22:N$24,-COUNTA($B$4:N$4),0))</f>
        <v>1.0003333333333333</v>
      </c>
      <c r="O26" s="351">
        <f ca="1">AVERAGE(OFFSET(O$22:O$24,-COUNTA($B$4:O$4),0))</f>
        <v>1</v>
      </c>
      <c r="P26" s="351">
        <f ca="1">AVERAGE(OFFSET(P$22:P$24,-COUNTA($B$4:P$4),0))</f>
        <v>1.0006666666666666</v>
      </c>
      <c r="Q26" s="351">
        <f ca="1">AVERAGE(OFFSET(Q$22:Q$24,-COUNTA($B$4:Q$4),0))</f>
        <v>1.0003333333333333</v>
      </c>
      <c r="R26" s="351">
        <f ca="1">AVERAGE(OFFSET(R$22:R$24,-COUNTA($B$4:R$4),0))</f>
        <v>1.0003333333333333</v>
      </c>
      <c r="S26" s="350">
        <v>1.0089999999999999</v>
      </c>
    </row>
    <row r="27" spans="1:19">
      <c r="A27" s="181" t="s">
        <v>355</v>
      </c>
      <c r="B27" s="351">
        <f ca="1">B26</f>
        <v>1.002</v>
      </c>
      <c r="C27" s="351">
        <f t="shared" ref="C27:E27" ca="1" si="10">C26</f>
        <v>1.002</v>
      </c>
      <c r="D27" s="351">
        <f t="shared" ca="1" si="10"/>
        <v>1.0016666666666667</v>
      </c>
      <c r="E27" s="351">
        <f t="shared" ca="1" si="10"/>
        <v>1.0016666666666667</v>
      </c>
      <c r="F27" s="350">
        <v>1.0016573996295983</v>
      </c>
      <c r="G27" s="350">
        <v>1.0014125628192965</v>
      </c>
      <c r="H27" s="350">
        <v>1.0008692637343475</v>
      </c>
      <c r="I27" s="350">
        <v>1.0009059384093517</v>
      </c>
      <c r="J27" s="350">
        <v>1.000957899382718</v>
      </c>
      <c r="K27" s="350">
        <v>1.0010058693550621</v>
      </c>
      <c r="L27" s="350">
        <v>1</v>
      </c>
      <c r="M27" s="350">
        <v>1.0003732860691463</v>
      </c>
      <c r="N27" s="350">
        <v>1.0003805286433867</v>
      </c>
      <c r="O27" s="350">
        <v>1</v>
      </c>
      <c r="P27" s="350">
        <v>1.0007025902299991</v>
      </c>
      <c r="Q27" s="350">
        <v>1.0003512951149995</v>
      </c>
      <c r="R27" s="350">
        <v>1.0003512951149995</v>
      </c>
      <c r="S27" s="183">
        <f>S28</f>
        <v>1.0067420998382026</v>
      </c>
    </row>
    <row r="28" spans="1:19">
      <c r="A28" s="181" t="s">
        <v>24</v>
      </c>
      <c r="B28" s="351">
        <f ca="1">B27*C28</f>
        <v>1.0232760901779887</v>
      </c>
      <c r="C28" s="351">
        <f t="shared" ref="C28:R28" ca="1" si="11">C27*D28</f>
        <v>1.0212336229321244</v>
      </c>
      <c r="D28" s="351">
        <f t="shared" ca="1" si="11"/>
        <v>1.01919523246719</v>
      </c>
      <c r="E28" s="351">
        <f t="shared" ca="1" si="11"/>
        <v>1.0174994001336339</v>
      </c>
      <c r="F28" s="351">
        <f t="shared" si="11"/>
        <v>1.0158063894844931</v>
      </c>
      <c r="G28" s="351">
        <f t="shared" si="11"/>
        <v>1.0141255781269394</v>
      </c>
      <c r="H28" s="351">
        <f t="shared" si="11"/>
        <v>1.0126950827058248</v>
      </c>
      <c r="I28" s="351">
        <f t="shared" si="11"/>
        <v>1.0118155481439743</v>
      </c>
      <c r="J28" s="351">
        <f t="shared" si="11"/>
        <v>1.0108997352458118</v>
      </c>
      <c r="K28" s="351">
        <f t="shared" si="11"/>
        <v>1.0099323216982701</v>
      </c>
      <c r="L28" s="351">
        <f t="shared" si="11"/>
        <v>1.008917482520816</v>
      </c>
      <c r="M28" s="351">
        <f t="shared" si="11"/>
        <v>1.008917482520816</v>
      </c>
      <c r="N28" s="351">
        <f t="shared" si="11"/>
        <v>1.0085410082122876</v>
      </c>
      <c r="O28" s="351">
        <f t="shared" si="11"/>
        <v>1.008157375453886</v>
      </c>
      <c r="P28" s="351">
        <f t="shared" si="11"/>
        <v>1.008157375453886</v>
      </c>
      <c r="Q28" s="351">
        <f t="shared" si="11"/>
        <v>1.0074495512419663</v>
      </c>
      <c r="R28" s="351">
        <f t="shared" si="11"/>
        <v>1.0070957634199402</v>
      </c>
      <c r="S28" s="350">
        <v>1.0067420998382026</v>
      </c>
    </row>
    <row r="29" spans="1:19">
      <c r="A29" s="283"/>
      <c r="B29" s="183"/>
      <c r="C29" s="183"/>
      <c r="D29" s="183"/>
      <c r="E29" s="183"/>
      <c r="F29" s="183"/>
      <c r="G29" s="183"/>
      <c r="H29" s="183"/>
      <c r="I29" s="183"/>
      <c r="J29" s="183"/>
      <c r="K29" s="183"/>
      <c r="L29" s="183"/>
      <c r="M29" s="183"/>
      <c r="N29" s="183"/>
      <c r="O29" s="183"/>
      <c r="P29" s="183"/>
      <c r="Q29" s="183"/>
      <c r="R29" s="183"/>
      <c r="S29" s="183"/>
    </row>
    <row r="30" spans="1:19" ht="12.75" customHeight="1">
      <c r="A30" s="3" t="s">
        <v>358</v>
      </c>
      <c r="B30" s="194" t="s">
        <v>419</v>
      </c>
      <c r="C30" s="197"/>
      <c r="D30" s="197"/>
      <c r="E30" s="197"/>
      <c r="F30" s="197"/>
      <c r="G30" s="197"/>
      <c r="H30" s="197"/>
      <c r="I30" s="197"/>
      <c r="J30" s="197"/>
      <c r="K30" s="197"/>
      <c r="L30" s="197"/>
      <c r="M30" s="197"/>
      <c r="N30" s="197"/>
      <c r="O30" s="197"/>
      <c r="P30" s="197"/>
      <c r="Q30" s="197"/>
      <c r="R30" s="197"/>
      <c r="S30" s="197"/>
    </row>
    <row r="31" spans="1:19" ht="12.75" customHeight="1">
      <c r="A31" s="3" t="s">
        <v>364</v>
      </c>
      <c r="B31" s="194" t="s">
        <v>414</v>
      </c>
      <c r="C31" s="197"/>
      <c r="D31" s="197"/>
      <c r="E31" s="197"/>
      <c r="F31" s="197"/>
      <c r="G31" s="197"/>
      <c r="H31" s="197"/>
      <c r="I31" s="197"/>
      <c r="J31" s="197"/>
      <c r="K31" s="197"/>
      <c r="L31" s="197"/>
      <c r="M31" s="197"/>
      <c r="N31" s="197"/>
      <c r="O31" s="197"/>
      <c r="P31" s="197"/>
      <c r="Q31" s="197"/>
      <c r="R31" s="197"/>
      <c r="S31" s="197"/>
    </row>
    <row r="32" spans="1:19">
      <c r="A32" s="281"/>
      <c r="B32" s="194"/>
      <c r="C32" s="281"/>
      <c r="D32" s="281"/>
      <c r="E32" s="281"/>
      <c r="F32" s="281"/>
      <c r="G32" s="281"/>
      <c r="H32" s="281"/>
      <c r="I32" s="281"/>
      <c r="J32" s="281"/>
      <c r="K32" s="281"/>
      <c r="L32" s="281"/>
      <c r="M32" s="281"/>
      <c r="N32" s="281"/>
      <c r="O32" s="281"/>
      <c r="P32" s="323"/>
      <c r="Q32" s="323"/>
      <c r="R32" s="281"/>
      <c r="S32" s="281"/>
    </row>
    <row r="33" spans="1:19">
      <c r="A33" s="281"/>
      <c r="B33" s="194"/>
      <c r="C33" s="281"/>
      <c r="D33" s="281"/>
      <c r="E33" s="281"/>
      <c r="F33" s="281"/>
      <c r="G33" s="281"/>
      <c r="H33" s="281"/>
      <c r="I33" s="281"/>
      <c r="J33" s="281"/>
      <c r="K33" s="281"/>
      <c r="L33" s="281"/>
      <c r="M33" s="281"/>
      <c r="N33" s="281"/>
      <c r="O33" s="281"/>
      <c r="P33" s="323"/>
      <c r="Q33" s="323"/>
      <c r="R33" s="281"/>
      <c r="S33" s="281"/>
    </row>
    <row r="34" spans="1:19">
      <c r="A34" s="281"/>
      <c r="B34" s="194"/>
      <c r="C34" s="281"/>
      <c r="D34" s="281"/>
      <c r="E34" s="281"/>
      <c r="F34" s="281"/>
      <c r="G34" s="281"/>
      <c r="H34" s="281"/>
      <c r="I34" s="281"/>
      <c r="J34" s="281"/>
      <c r="K34" s="281"/>
      <c r="L34" s="281"/>
      <c r="M34" s="281"/>
      <c r="N34" s="281"/>
      <c r="O34" s="281"/>
      <c r="P34" s="323"/>
      <c r="Q34" s="323"/>
      <c r="R34" s="281"/>
      <c r="S34" s="281"/>
    </row>
  </sheetData>
  <pageMargins left="0.7" right="0.7" top="0.75" bottom="0.75" header="0.3" footer="0.3"/>
  <pageSetup scale="73" orientation="landscape" blackAndWhite="1" horizontalDpi="1200" verticalDpi="1200"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O231"/>
  <sheetViews>
    <sheetView zoomScaleNormal="100" zoomScaleSheetLayoutView="85" workbookViewId="0"/>
  </sheetViews>
  <sheetFormatPr defaultRowHeight="15"/>
  <cols>
    <col min="1" max="1" width="6.85546875" customWidth="1"/>
    <col min="2" max="2" width="14.85546875" customWidth="1"/>
    <col min="3" max="12" width="8.85546875" customWidth="1"/>
    <col min="13" max="13" width="8.85546875" bestFit="1" customWidth="1"/>
  </cols>
  <sheetData>
    <row r="1" spans="1:15">
      <c r="A1" s="211"/>
      <c r="B1" s="211"/>
      <c r="C1" s="211"/>
      <c r="D1" s="211"/>
      <c r="E1" s="211"/>
      <c r="F1" s="211"/>
      <c r="G1" s="211"/>
      <c r="H1" s="211"/>
      <c r="I1" s="211"/>
      <c r="J1" s="211"/>
      <c r="K1" s="211"/>
      <c r="L1" s="211"/>
      <c r="M1" s="42" t="s">
        <v>272</v>
      </c>
      <c r="N1" s="211"/>
    </row>
    <row r="2" spans="1:15">
      <c r="A2" s="99" t="s">
        <v>285</v>
      </c>
      <c r="B2" s="99"/>
      <c r="C2" s="99"/>
      <c r="D2" s="99"/>
      <c r="E2" s="99"/>
      <c r="F2" s="99"/>
      <c r="G2" s="99"/>
      <c r="H2" s="99"/>
      <c r="I2" s="99"/>
      <c r="J2" s="99"/>
      <c r="K2" s="99"/>
      <c r="L2" s="99"/>
      <c r="M2" s="99"/>
      <c r="N2" s="211"/>
    </row>
    <row r="3" spans="1:15">
      <c r="A3" s="99" t="s">
        <v>286</v>
      </c>
      <c r="B3" s="99"/>
      <c r="C3" s="99"/>
      <c r="D3" s="99"/>
      <c r="E3" s="99"/>
      <c r="F3" s="99"/>
      <c r="G3" s="99"/>
      <c r="H3" s="99"/>
      <c r="I3" s="99"/>
      <c r="J3" s="99"/>
      <c r="K3" s="99"/>
      <c r="L3" s="99"/>
      <c r="M3" s="99"/>
      <c r="N3" s="211"/>
    </row>
    <row r="4" spans="1:15">
      <c r="A4" s="99" t="s">
        <v>407</v>
      </c>
      <c r="B4" s="99"/>
      <c r="C4" s="99"/>
      <c r="D4" s="99"/>
      <c r="E4" s="99"/>
      <c r="F4" s="99"/>
      <c r="G4" s="99"/>
      <c r="H4" s="99"/>
      <c r="I4" s="99"/>
      <c r="J4" s="99"/>
      <c r="K4" s="99"/>
      <c r="L4" s="99"/>
      <c r="M4" s="99"/>
      <c r="N4" s="211"/>
    </row>
    <row r="5" spans="1:15">
      <c r="A5" s="99"/>
      <c r="B5" s="99"/>
      <c r="C5" s="99"/>
      <c r="D5" s="99"/>
      <c r="E5" s="99"/>
      <c r="F5" s="99"/>
      <c r="G5" s="99"/>
      <c r="H5" s="99"/>
      <c r="I5" s="99"/>
      <c r="J5" s="99"/>
      <c r="K5" s="99"/>
      <c r="L5" s="99"/>
      <c r="M5" s="99"/>
      <c r="N5" s="211"/>
    </row>
    <row r="6" spans="1:15">
      <c r="A6" s="99"/>
      <c r="B6" s="99"/>
      <c r="C6" s="99"/>
      <c r="D6" s="99"/>
      <c r="E6" s="99"/>
      <c r="F6" s="99"/>
      <c r="G6" s="99"/>
      <c r="H6" s="99"/>
      <c r="I6" s="99"/>
      <c r="J6" s="99"/>
      <c r="K6" s="99"/>
      <c r="L6" s="99"/>
      <c r="M6" s="99"/>
      <c r="N6" s="211"/>
      <c r="O6" s="211"/>
    </row>
    <row r="7" spans="1:15">
      <c r="A7" s="281"/>
      <c r="B7" s="281"/>
      <c r="C7" s="281"/>
      <c r="D7" s="281"/>
      <c r="E7" s="281"/>
      <c r="F7" s="281"/>
      <c r="G7" s="281"/>
      <c r="H7" s="281"/>
      <c r="I7" s="281"/>
      <c r="J7" s="281"/>
      <c r="K7" s="281"/>
      <c r="L7" s="281"/>
      <c r="M7" s="211"/>
      <c r="N7" s="211"/>
      <c r="O7" s="211"/>
    </row>
    <row r="8" spans="1:15">
      <c r="A8" s="280" t="s">
        <v>294</v>
      </c>
      <c r="B8" s="280"/>
      <c r="C8" s="280"/>
      <c r="D8" s="280"/>
      <c r="E8" s="280"/>
      <c r="F8" s="280"/>
      <c r="G8" s="280"/>
      <c r="H8" s="280"/>
      <c r="I8" s="280"/>
      <c r="J8" s="280"/>
      <c r="K8" s="280"/>
      <c r="L8" s="280"/>
      <c r="M8" s="211"/>
      <c r="N8" s="211"/>
      <c r="O8" s="211"/>
    </row>
    <row r="9" spans="1:15">
      <c r="A9" s="281"/>
      <c r="B9" s="281"/>
      <c r="C9" s="281"/>
      <c r="D9" s="281"/>
      <c r="E9" s="281"/>
      <c r="F9" s="281"/>
      <c r="G9" s="281"/>
      <c r="H9" s="281"/>
      <c r="I9" s="281"/>
      <c r="J9" s="281"/>
      <c r="K9" s="281"/>
      <c r="L9" s="281"/>
      <c r="M9" s="211"/>
      <c r="N9" s="211"/>
      <c r="O9" s="211"/>
    </row>
    <row r="10" spans="1:15">
      <c r="A10" s="281"/>
      <c r="B10" s="28" t="s">
        <v>183</v>
      </c>
      <c r="C10" s="101" t="s">
        <v>234</v>
      </c>
      <c r="D10" s="273"/>
      <c r="E10" s="273"/>
      <c r="F10" s="273"/>
      <c r="G10" s="273"/>
      <c r="H10" s="273"/>
      <c r="I10" s="273"/>
      <c r="J10" s="273"/>
      <c r="K10" s="273"/>
      <c r="L10" s="273"/>
      <c r="M10" s="211"/>
      <c r="N10" s="211"/>
      <c r="O10" s="211"/>
    </row>
    <row r="11" spans="1:15">
      <c r="A11" s="281"/>
      <c r="B11" s="30" t="s">
        <v>8</v>
      </c>
      <c r="C11" s="66">
        <v>312</v>
      </c>
      <c r="D11" s="66">
        <f>+C11+12</f>
        <v>324</v>
      </c>
      <c r="E11" s="66">
        <f>+D11+12</f>
        <v>336</v>
      </c>
      <c r="F11" s="66">
        <f>+E11+12</f>
        <v>348</v>
      </c>
      <c r="G11" s="66">
        <f>+F11+12</f>
        <v>360</v>
      </c>
      <c r="H11" s="66">
        <f t="shared" ref="H11:L11" si="0">+G11+12</f>
        <v>372</v>
      </c>
      <c r="I11" s="66">
        <f t="shared" si="0"/>
        <v>384</v>
      </c>
      <c r="J11" s="66">
        <f t="shared" si="0"/>
        <v>396</v>
      </c>
      <c r="K11" s="66">
        <f t="shared" si="0"/>
        <v>408</v>
      </c>
      <c r="L11" s="66">
        <f t="shared" si="0"/>
        <v>420</v>
      </c>
      <c r="M11" s="211"/>
      <c r="N11" s="211"/>
      <c r="O11" s="211"/>
    </row>
    <row r="12" spans="1:15">
      <c r="A12" s="281"/>
      <c r="B12" s="28">
        <f t="shared" ref="B12:B14" si="1">B13-1</f>
        <v>1989</v>
      </c>
      <c r="C12" s="352"/>
      <c r="D12" s="352"/>
      <c r="E12" s="352"/>
      <c r="F12" s="352"/>
      <c r="G12" s="352"/>
      <c r="H12" s="352"/>
      <c r="I12" s="352">
        <v>210991</v>
      </c>
      <c r="J12" s="352">
        <v>211046</v>
      </c>
      <c r="K12" s="352">
        <v>211039</v>
      </c>
      <c r="L12" s="352">
        <v>211073</v>
      </c>
      <c r="M12" s="211"/>
      <c r="N12" s="211"/>
      <c r="O12" s="211"/>
    </row>
    <row r="13" spans="1:15">
      <c r="A13" s="281"/>
      <c r="B13" s="28">
        <f t="shared" si="1"/>
        <v>1990</v>
      </c>
      <c r="C13" s="352"/>
      <c r="D13" s="352"/>
      <c r="E13" s="352"/>
      <c r="F13" s="352"/>
      <c r="G13" s="352"/>
      <c r="H13" s="352">
        <v>230974.00000000003</v>
      </c>
      <c r="I13" s="352">
        <v>231050</v>
      </c>
      <c r="J13" s="352">
        <v>231101.00000000003</v>
      </c>
      <c r="K13" s="352">
        <v>231122</v>
      </c>
      <c r="L13" s="352"/>
      <c r="M13" s="211"/>
      <c r="N13" s="211"/>
      <c r="O13" s="211"/>
    </row>
    <row r="14" spans="1:15">
      <c r="A14" s="281"/>
      <c r="B14" s="28">
        <f t="shared" si="1"/>
        <v>1991</v>
      </c>
      <c r="C14" s="352"/>
      <c r="D14" s="352"/>
      <c r="E14" s="352"/>
      <c r="F14" s="352"/>
      <c r="G14" s="352">
        <v>231397</v>
      </c>
      <c r="H14" s="352">
        <v>231476.99999999997</v>
      </c>
      <c r="I14" s="352">
        <v>231519</v>
      </c>
      <c r="J14" s="352">
        <v>231570</v>
      </c>
      <c r="K14" s="352"/>
      <c r="L14" s="352"/>
      <c r="M14" s="211"/>
      <c r="N14" s="211"/>
      <c r="O14" s="211"/>
    </row>
    <row r="15" spans="1:15">
      <c r="A15" s="281"/>
      <c r="B15" s="28">
        <f t="shared" ref="B15:B20" si="2">B16-1</f>
        <v>1992</v>
      </c>
      <c r="C15" s="352"/>
      <c r="D15" s="352"/>
      <c r="E15" s="352"/>
      <c r="F15" s="352">
        <v>182246.00000000003</v>
      </c>
      <c r="G15" s="352">
        <v>182323.00000000003</v>
      </c>
      <c r="H15" s="352">
        <v>182381.00000000003</v>
      </c>
      <c r="I15" s="352">
        <v>182412</v>
      </c>
      <c r="J15" s="352"/>
      <c r="K15" s="352"/>
      <c r="L15" s="352"/>
      <c r="M15" s="211"/>
      <c r="N15" s="211"/>
      <c r="O15" s="211"/>
    </row>
    <row r="16" spans="1:15">
      <c r="A16" s="281"/>
      <c r="B16" s="28">
        <f t="shared" si="2"/>
        <v>1993</v>
      </c>
      <c r="C16" s="352"/>
      <c r="D16" s="352"/>
      <c r="E16" s="352">
        <v>142787</v>
      </c>
      <c r="F16" s="352">
        <v>142863</v>
      </c>
      <c r="G16" s="352">
        <v>142905</v>
      </c>
      <c r="H16" s="352">
        <v>142922</v>
      </c>
      <c r="I16" s="352"/>
      <c r="J16" s="352"/>
      <c r="K16" s="352"/>
      <c r="L16" s="352"/>
      <c r="M16" s="211"/>
      <c r="N16" s="211"/>
      <c r="O16" s="211"/>
    </row>
    <row r="17" spans="1:15">
      <c r="A17" s="281"/>
      <c r="B17" s="28">
        <f t="shared" si="2"/>
        <v>1994</v>
      </c>
      <c r="C17" s="352"/>
      <c r="D17" s="352">
        <v>130048</v>
      </c>
      <c r="E17" s="352">
        <v>130156</v>
      </c>
      <c r="F17" s="352">
        <v>130206</v>
      </c>
      <c r="G17" s="352">
        <v>130240</v>
      </c>
      <c r="H17" s="352"/>
      <c r="I17" s="352"/>
      <c r="J17" s="352"/>
      <c r="K17" s="352"/>
      <c r="L17" s="352"/>
      <c r="M17" s="211"/>
      <c r="N17" s="211"/>
      <c r="O17" s="211"/>
    </row>
    <row r="18" spans="1:15">
      <c r="A18" s="281"/>
      <c r="B18" s="28">
        <f t="shared" si="2"/>
        <v>1995</v>
      </c>
      <c r="C18" s="352">
        <v>120897.99999999999</v>
      </c>
      <c r="D18" s="352">
        <v>120986.99999999999</v>
      </c>
      <c r="E18" s="352">
        <v>121056</v>
      </c>
      <c r="F18" s="352">
        <v>121110</v>
      </c>
      <c r="G18" s="352"/>
      <c r="H18" s="352"/>
      <c r="I18" s="352"/>
      <c r="J18" s="352"/>
      <c r="K18" s="352"/>
      <c r="L18" s="352"/>
      <c r="M18" s="211"/>
      <c r="N18" s="211"/>
      <c r="O18" s="211"/>
    </row>
    <row r="19" spans="1:15">
      <c r="A19" s="281"/>
      <c r="B19" s="28">
        <f t="shared" si="2"/>
        <v>1996</v>
      </c>
      <c r="C19" s="352">
        <v>115312.23453577048</v>
      </c>
      <c r="D19" s="352">
        <v>115380.10694831134</v>
      </c>
      <c r="E19" s="352">
        <v>115437</v>
      </c>
      <c r="F19" s="352"/>
      <c r="G19" s="352"/>
      <c r="H19" s="352"/>
      <c r="I19" s="352"/>
      <c r="J19" s="352"/>
      <c r="K19" s="352"/>
      <c r="L19" s="352"/>
      <c r="M19" s="211"/>
      <c r="N19" s="211"/>
      <c r="O19" s="211"/>
    </row>
    <row r="20" spans="1:15">
      <c r="A20" s="281"/>
      <c r="B20" s="28">
        <f t="shared" si="2"/>
        <v>1997</v>
      </c>
      <c r="C20" s="352">
        <v>121580.26594698273</v>
      </c>
      <c r="D20" s="352">
        <v>121683</v>
      </c>
      <c r="E20" s="352"/>
      <c r="F20" s="352"/>
      <c r="G20" s="352"/>
      <c r="H20" s="352"/>
      <c r="I20" s="352"/>
      <c r="J20" s="352"/>
      <c r="K20" s="352"/>
      <c r="L20" s="352"/>
      <c r="M20" s="211"/>
      <c r="N20" s="211"/>
      <c r="O20" s="211"/>
    </row>
    <row r="21" spans="1:15">
      <c r="A21" s="281"/>
      <c r="B21" s="28">
        <v>1998</v>
      </c>
      <c r="C21" s="352">
        <v>131865</v>
      </c>
      <c r="D21" s="352"/>
      <c r="E21" s="352"/>
      <c r="F21" s="352"/>
      <c r="G21" s="352"/>
      <c r="H21" s="352"/>
      <c r="I21" s="352"/>
      <c r="J21" s="352"/>
      <c r="K21" s="352"/>
      <c r="L21" s="352"/>
      <c r="M21" s="211"/>
      <c r="N21" s="211"/>
      <c r="O21" s="211"/>
    </row>
    <row r="22" spans="1:15">
      <c r="A22" s="281"/>
      <c r="B22" s="28">
        <v>1999</v>
      </c>
      <c r="C22" s="209"/>
      <c r="D22" s="102"/>
      <c r="E22" s="102"/>
      <c r="F22" s="102"/>
      <c r="G22" s="102"/>
      <c r="H22" s="102"/>
      <c r="I22" s="102"/>
      <c r="J22" s="102"/>
      <c r="K22" s="102"/>
      <c r="L22" s="102"/>
      <c r="M22" s="211"/>
      <c r="N22" s="211"/>
      <c r="O22" s="211"/>
    </row>
    <row r="23" spans="1:15">
      <c r="A23" s="281"/>
      <c r="B23" s="28"/>
      <c r="C23" s="102"/>
      <c r="D23" s="102"/>
      <c r="E23" s="102"/>
      <c r="F23" s="102"/>
      <c r="G23" s="102"/>
      <c r="H23" s="102"/>
      <c r="I23" s="102"/>
      <c r="J23" s="102"/>
      <c r="K23" s="102"/>
      <c r="L23" s="102"/>
      <c r="M23" s="211"/>
      <c r="N23" s="211"/>
      <c r="O23" s="211"/>
    </row>
    <row r="24" spans="1:15">
      <c r="A24" s="103" t="s">
        <v>287</v>
      </c>
      <c r="B24" s="167"/>
      <c r="C24" s="102"/>
      <c r="D24" s="102"/>
      <c r="E24" s="102"/>
      <c r="F24" s="102"/>
      <c r="G24" s="102"/>
      <c r="H24" s="102"/>
      <c r="I24" s="102"/>
      <c r="J24" s="102"/>
      <c r="K24" s="102"/>
      <c r="L24" s="102"/>
      <c r="M24" s="174"/>
      <c r="N24" s="211"/>
      <c r="O24" s="211"/>
    </row>
    <row r="25" spans="1:15">
      <c r="A25" s="103"/>
      <c r="B25" s="167"/>
      <c r="C25" s="102"/>
      <c r="D25" s="102"/>
      <c r="E25" s="102"/>
      <c r="F25" s="102"/>
      <c r="G25" s="102"/>
      <c r="H25" s="102"/>
      <c r="I25" s="102"/>
      <c r="J25" s="102"/>
      <c r="K25" s="102"/>
      <c r="L25" s="102"/>
      <c r="M25" s="174"/>
      <c r="N25" s="211"/>
      <c r="O25" s="211"/>
    </row>
    <row r="26" spans="1:15">
      <c r="A26" s="103"/>
      <c r="B26" s="167" t="s">
        <v>19</v>
      </c>
      <c r="C26" s="66">
        <f>$B$21</f>
        <v>1998</v>
      </c>
      <c r="D26" s="66">
        <f t="shared" ref="D26" si="3">C26-1</f>
        <v>1997</v>
      </c>
      <c r="E26" s="66">
        <f t="shared" ref="E26" si="4">D26-1</f>
        <v>1996</v>
      </c>
      <c r="F26" s="66">
        <f t="shared" ref="F26" si="5">E26-1</f>
        <v>1995</v>
      </c>
      <c r="G26" s="66">
        <f t="shared" ref="G26" si="6">F26-1</f>
        <v>1994</v>
      </c>
      <c r="H26" s="66">
        <f t="shared" ref="H26" si="7">G26-1</f>
        <v>1993</v>
      </c>
      <c r="I26" s="66">
        <f t="shared" ref="I26" si="8">H26-1</f>
        <v>1992</v>
      </c>
      <c r="J26" s="66">
        <f t="shared" ref="J26" si="9">I26-1</f>
        <v>1991</v>
      </c>
      <c r="K26" s="66">
        <f t="shared" ref="K26" si="10">J26-1</f>
        <v>1990</v>
      </c>
      <c r="L26" s="66">
        <f t="shared" ref="L26" si="11">K26-1</f>
        <v>1989</v>
      </c>
      <c r="M26" s="174"/>
      <c r="N26" s="211"/>
      <c r="O26" s="211"/>
    </row>
    <row r="27" spans="1:15">
      <c r="A27" s="103"/>
      <c r="B27" s="167"/>
      <c r="C27" s="353">
        <v>132924.26290190287</v>
      </c>
      <c r="D27" s="353">
        <v>122474.99793614639</v>
      </c>
      <c r="E27" s="353">
        <v>116062.51249554186</v>
      </c>
      <c r="F27" s="353">
        <v>121666.99995793788</v>
      </c>
      <c r="G27" s="353">
        <v>130698.11753754948</v>
      </c>
      <c r="H27" s="353">
        <v>143302.92569562979</v>
      </c>
      <c r="I27" s="353">
        <v>182773.41390831399</v>
      </c>
      <c r="J27" s="353">
        <v>231965.17726244597</v>
      </c>
      <c r="K27" s="353">
        <v>231400.13542051034</v>
      </c>
      <c r="L27" s="353">
        <v>211398</v>
      </c>
      <c r="M27" s="174"/>
      <c r="N27" s="211"/>
      <c r="O27" s="211"/>
    </row>
    <row r="28" spans="1:15">
      <c r="A28" s="281"/>
      <c r="B28" s="28"/>
      <c r="C28" s="102"/>
      <c r="D28" s="102"/>
      <c r="E28" s="102"/>
      <c r="F28" s="102"/>
      <c r="G28" s="102"/>
      <c r="H28" s="102"/>
      <c r="I28" s="102"/>
      <c r="J28" s="102"/>
      <c r="K28" s="102"/>
      <c r="L28" s="102"/>
      <c r="M28" s="211"/>
      <c r="N28" s="211"/>
      <c r="O28" s="211"/>
    </row>
    <row r="29" spans="1:15">
      <c r="A29" s="281"/>
      <c r="B29" s="28"/>
      <c r="C29" s="281"/>
      <c r="D29" s="281"/>
      <c r="E29" s="281"/>
      <c r="F29" s="281"/>
      <c r="G29" s="281"/>
      <c r="H29" s="281"/>
      <c r="I29" s="281"/>
      <c r="J29" s="281"/>
      <c r="K29" s="281"/>
      <c r="L29" s="281"/>
      <c r="M29" s="211"/>
      <c r="N29" s="211"/>
      <c r="O29" s="211"/>
    </row>
    <row r="30" spans="1:15">
      <c r="A30" s="280" t="s">
        <v>288</v>
      </c>
      <c r="B30" s="280"/>
      <c r="C30" s="280"/>
      <c r="D30" s="280"/>
      <c r="E30" s="280"/>
      <c r="F30" s="280"/>
      <c r="G30" s="280"/>
      <c r="H30" s="280"/>
      <c r="I30" s="280"/>
      <c r="J30" s="280"/>
      <c r="K30" s="280"/>
      <c r="L30" s="280"/>
      <c r="M30" s="211"/>
      <c r="N30" s="211"/>
      <c r="O30" s="211"/>
    </row>
    <row r="31" spans="1:15">
      <c r="A31" s="281"/>
      <c r="B31" s="281"/>
      <c r="C31" s="281"/>
      <c r="D31" s="281"/>
      <c r="E31" s="281"/>
      <c r="F31" s="281"/>
      <c r="G31" s="281"/>
      <c r="H31" s="281"/>
      <c r="I31" s="281"/>
      <c r="J31" s="281"/>
      <c r="K31" s="281"/>
      <c r="L31" s="281"/>
      <c r="M31" s="211"/>
      <c r="N31" s="211"/>
      <c r="O31" s="211"/>
    </row>
    <row r="32" spans="1:15">
      <c r="A32" s="281"/>
      <c r="B32" s="28" t="s">
        <v>183</v>
      </c>
      <c r="C32" s="101" t="s">
        <v>234</v>
      </c>
      <c r="D32" s="273"/>
      <c r="E32" s="273"/>
      <c r="F32" s="273"/>
      <c r="G32" s="273"/>
      <c r="H32" s="273"/>
      <c r="I32" s="273"/>
      <c r="J32" s="273"/>
      <c r="K32" s="273"/>
      <c r="L32" s="273"/>
      <c r="M32" s="211"/>
      <c r="N32" s="211"/>
      <c r="O32" s="211"/>
    </row>
    <row r="33" spans="1:15">
      <c r="A33" s="281"/>
      <c r="B33" s="30" t="s">
        <v>8</v>
      </c>
      <c r="C33" s="66">
        <v>312</v>
      </c>
      <c r="D33" s="66">
        <f>+C33+12</f>
        <v>324</v>
      </c>
      <c r="E33" s="66">
        <f>+D33+12</f>
        <v>336</v>
      </c>
      <c r="F33" s="66">
        <f>+E33+12</f>
        <v>348</v>
      </c>
      <c r="G33" s="66">
        <f>+F33+12</f>
        <v>360</v>
      </c>
      <c r="H33" s="66">
        <f t="shared" ref="H33:L33" si="12">+G33+12</f>
        <v>372</v>
      </c>
      <c r="I33" s="66">
        <f t="shared" si="12"/>
        <v>384</v>
      </c>
      <c r="J33" s="66">
        <f t="shared" si="12"/>
        <v>396</v>
      </c>
      <c r="K33" s="66">
        <f t="shared" si="12"/>
        <v>408</v>
      </c>
      <c r="L33" s="66">
        <f t="shared" si="12"/>
        <v>420</v>
      </c>
      <c r="M33" s="211"/>
      <c r="N33" s="211"/>
      <c r="O33" s="211"/>
    </row>
    <row r="34" spans="1:15">
      <c r="A34" s="281"/>
      <c r="B34" s="28">
        <f t="shared" ref="B34:B36" si="13">B35-1</f>
        <v>1989</v>
      </c>
      <c r="C34" s="102"/>
      <c r="D34" s="102"/>
      <c r="E34" s="102"/>
      <c r="F34" s="102"/>
      <c r="G34" s="102"/>
      <c r="H34" s="102"/>
      <c r="I34" s="354">
        <f t="shared" ref="I34:J34" si="14">I12/INDEX($C$27:$L$27,MATCH($B34,$C$26:$L$26,0))</f>
        <v>0.99807472161515243</v>
      </c>
      <c r="J34" s="354">
        <f t="shared" si="14"/>
        <v>0.99833489436986156</v>
      </c>
      <c r="K34" s="354">
        <f t="shared" ref="K34:L34" si="15">K12/INDEX($C$27:$L$27,MATCH($B34,$C$26:$L$26,0))</f>
        <v>0.99830178147380766</v>
      </c>
      <c r="L34" s="354">
        <f t="shared" si="15"/>
        <v>0.9984626155403552</v>
      </c>
      <c r="M34" s="211"/>
      <c r="N34" s="211"/>
      <c r="O34" s="211"/>
    </row>
    <row r="35" spans="1:15">
      <c r="A35" s="281"/>
      <c r="B35" s="28">
        <f t="shared" si="13"/>
        <v>1990</v>
      </c>
      <c r="C35" s="102"/>
      <c r="D35" s="102"/>
      <c r="E35" s="102"/>
      <c r="F35" s="102"/>
      <c r="G35" s="102"/>
      <c r="H35" s="354">
        <f t="shared" ref="H35:I35" si="16">H13/INDEX($C$27:$L$27,MATCH($B35,$C$26:$L$26,0))</f>
        <v>0.9981584478343718</v>
      </c>
      <c r="I35" s="354">
        <f t="shared" si="16"/>
        <v>0.99848688325149826</v>
      </c>
      <c r="J35" s="354">
        <f t="shared" ref="J35:K35" si="17">J13/INDEX($C$27:$L$27,MATCH($B35,$C$26:$L$26,0))</f>
        <v>0.99870728070246495</v>
      </c>
      <c r="K35" s="354">
        <f t="shared" si="17"/>
        <v>0.99879803259403932</v>
      </c>
      <c r="L35" s="274"/>
      <c r="M35" s="211"/>
      <c r="N35" s="211"/>
      <c r="O35" s="211"/>
    </row>
    <row r="36" spans="1:15">
      <c r="A36" s="281"/>
      <c r="B36" s="28">
        <f t="shared" si="13"/>
        <v>1991</v>
      </c>
      <c r="C36" s="102"/>
      <c r="D36" s="102"/>
      <c r="E36" s="102"/>
      <c r="F36" s="102"/>
      <c r="G36" s="354">
        <f t="shared" ref="G36:I36" si="18">G14/INDEX($C$27:$L$27,MATCH($B36,$C$26:$L$26,0))</f>
        <v>0.9975505924244692</v>
      </c>
      <c r="H36" s="354">
        <f t="shared" si="18"/>
        <v>0.99789547177637927</v>
      </c>
      <c r="I36" s="354">
        <f t="shared" si="18"/>
        <v>0.99807653343613223</v>
      </c>
      <c r="J36" s="354">
        <f t="shared" ref="J36" si="19">J14/INDEX($C$27:$L$27,MATCH($B36,$C$26:$L$26,0))</f>
        <v>0.99829639402297499</v>
      </c>
      <c r="K36" s="274"/>
      <c r="L36" s="102"/>
      <c r="M36" s="211"/>
      <c r="N36" s="211"/>
      <c r="O36" s="211"/>
    </row>
    <row r="37" spans="1:15">
      <c r="A37" s="281"/>
      <c r="B37" s="28">
        <f t="shared" ref="B37:B42" si="20">B38-1</f>
        <v>1992</v>
      </c>
      <c r="C37" s="102"/>
      <c r="D37" s="102"/>
      <c r="E37" s="102"/>
      <c r="F37" s="354">
        <f t="shared" ref="F37:H37" si="21">F15/INDEX($C$27:$L$27,MATCH($B37,$C$26:$L$26,0))</f>
        <v>0.99711438388638662</v>
      </c>
      <c r="G37" s="354">
        <f t="shared" si="21"/>
        <v>0.99753567054046544</v>
      </c>
      <c r="H37" s="354">
        <f t="shared" si="21"/>
        <v>0.99785300334483651</v>
      </c>
      <c r="I37" s="354">
        <f>I15/INDEX($C$27:$L$27,MATCH($B37,$C$26:$L$26,0))</f>
        <v>0.99802261225751743</v>
      </c>
      <c r="J37" s="274"/>
      <c r="K37" s="102"/>
      <c r="L37" s="102"/>
      <c r="M37" s="211"/>
      <c r="N37" s="211"/>
      <c r="O37" s="211"/>
    </row>
    <row r="38" spans="1:15">
      <c r="A38" s="281"/>
      <c r="B38" s="28">
        <f t="shared" si="20"/>
        <v>1993</v>
      </c>
      <c r="C38" s="102"/>
      <c r="D38" s="102"/>
      <c r="E38" s="354">
        <f t="shared" ref="E38:G38" si="22">E16/INDEX($C$27:$L$27,MATCH($B38,$C$26:$L$26,0))</f>
        <v>0.99639975462381281</v>
      </c>
      <c r="F38" s="354">
        <f t="shared" si="22"/>
        <v>0.99693009969270152</v>
      </c>
      <c r="G38" s="354">
        <f t="shared" si="22"/>
        <v>0.99722318512550834</v>
      </c>
      <c r="H38" s="354">
        <f>H16/INDEX($C$27:$L$27,MATCH($B38,$C$26:$L$26,0))</f>
        <v>0.99734181494354923</v>
      </c>
      <c r="I38" s="274"/>
      <c r="J38" s="102"/>
      <c r="K38" s="102"/>
      <c r="L38" s="102"/>
      <c r="M38" s="211"/>
      <c r="N38" s="211"/>
      <c r="O38" s="211"/>
    </row>
    <row r="39" spans="1:15">
      <c r="A39" s="281"/>
      <c r="B39" s="28">
        <f t="shared" si="20"/>
        <v>1994</v>
      </c>
      <c r="C39" s="102"/>
      <c r="D39" s="354">
        <f t="shared" ref="C39:D42" si="23">D17/INDEX($C$27:$L$27,MATCH($B39,$C$26:$L$26,0))</f>
        <v>0.99502580794736617</v>
      </c>
      <c r="E39" s="354">
        <f t="shared" ref="E39:F39" si="24">E17/INDEX($C$27:$L$27,MATCH($B39,$C$26:$L$26,0))</f>
        <v>0.99585213966533426</v>
      </c>
      <c r="F39" s="354">
        <f t="shared" si="24"/>
        <v>0.99623470064587505</v>
      </c>
      <c r="G39" s="354">
        <f>G17/INDEX($C$27:$L$27,MATCH($B39,$C$26:$L$26,0))</f>
        <v>0.99649484211264283</v>
      </c>
      <c r="H39" s="274"/>
      <c r="I39" s="102"/>
      <c r="J39" s="102"/>
      <c r="K39" s="102"/>
      <c r="L39" s="102"/>
      <c r="M39" s="211"/>
      <c r="N39" s="211"/>
      <c r="O39" s="211"/>
    </row>
    <row r="40" spans="1:15">
      <c r="A40" s="281"/>
      <c r="B40" s="28">
        <f t="shared" si="20"/>
        <v>1995</v>
      </c>
      <c r="C40" s="354">
        <f t="shared" si="23"/>
        <v>0.99367946971484666</v>
      </c>
      <c r="D40" s="354">
        <f t="shared" si="23"/>
        <v>0.99441097456029182</v>
      </c>
      <c r="E40" s="354">
        <f t="shared" ref="E40" si="25">E18/INDEX($C$27:$L$27,MATCH($B40,$C$26:$L$26,0))</f>
        <v>0.99497809629440104</v>
      </c>
      <c r="F40" s="354">
        <f>F18/INDEX($C$27:$L$27,MATCH($B40,$C$26:$L$26,0))</f>
        <v>0.99542193069500817</v>
      </c>
      <c r="G40" s="274"/>
      <c r="H40" s="102"/>
      <c r="I40" s="102"/>
      <c r="J40" s="102"/>
      <c r="K40" s="102"/>
      <c r="L40" s="102"/>
      <c r="M40" s="211"/>
      <c r="N40" s="211"/>
      <c r="O40" s="211"/>
    </row>
    <row r="41" spans="1:15">
      <c r="A41" s="281"/>
      <c r="B41" s="28">
        <f t="shared" si="20"/>
        <v>1996</v>
      </c>
      <c r="C41" s="354">
        <f t="shared" si="23"/>
        <v>0.99353557024021688</v>
      </c>
      <c r="D41" s="354">
        <f t="shared" si="23"/>
        <v>0.9941203621000646</v>
      </c>
      <c r="E41" s="354">
        <f>E19/INDEX($C$27:$L$27,MATCH($B41,$C$26:$L$26,0))</f>
        <v>0.9946105552767015</v>
      </c>
      <c r="F41" s="274"/>
      <c r="G41" s="102"/>
      <c r="H41" s="102"/>
      <c r="I41" s="102"/>
      <c r="J41" s="102"/>
      <c r="K41" s="102"/>
      <c r="L41" s="102"/>
      <c r="M41" s="211"/>
      <c r="N41" s="211"/>
      <c r="O41" s="211"/>
    </row>
    <row r="42" spans="1:15">
      <c r="A42" s="281"/>
      <c r="B42" s="28">
        <f t="shared" si="20"/>
        <v>1997</v>
      </c>
      <c r="C42" s="354">
        <f t="shared" si="23"/>
        <v>0.99269457436831199</v>
      </c>
      <c r="D42" s="354">
        <f>D20/INDEX($C$27:$L$27,MATCH($B42,$C$26:$L$26,0))</f>
        <v>0.99353339090024473</v>
      </c>
      <c r="E42" s="274"/>
      <c r="F42" s="102"/>
      <c r="G42" s="102"/>
      <c r="H42" s="102"/>
      <c r="I42" s="102"/>
      <c r="J42" s="102"/>
      <c r="K42" s="102"/>
      <c r="L42" s="102"/>
      <c r="M42" s="211"/>
      <c r="N42" s="211"/>
      <c r="O42" s="211"/>
    </row>
    <row r="43" spans="1:15">
      <c r="A43" s="281"/>
      <c r="B43" s="28">
        <f>$B$21</f>
        <v>1998</v>
      </c>
      <c r="C43" s="354">
        <f>C21/INDEX($C$27:$L$27,MATCH($B43,$C$26:$L$26,0))</f>
        <v>0.99203107936220347</v>
      </c>
      <c r="D43" s="274"/>
      <c r="E43" s="102"/>
      <c r="F43" s="102"/>
      <c r="G43" s="102"/>
      <c r="H43" s="102"/>
      <c r="I43" s="102"/>
      <c r="J43" s="102"/>
      <c r="K43" s="102"/>
      <c r="L43" s="102"/>
      <c r="M43" s="211"/>
      <c r="N43" s="211"/>
      <c r="O43" s="211"/>
    </row>
    <row r="44" spans="1:15">
      <c r="A44" s="281"/>
      <c r="B44" s="28"/>
      <c r="C44" s="274"/>
      <c r="D44" s="102"/>
      <c r="E44" s="102"/>
      <c r="F44" s="102"/>
      <c r="G44" s="102"/>
      <c r="H44" s="102"/>
      <c r="I44" s="102"/>
      <c r="J44" s="102"/>
      <c r="K44" s="102"/>
      <c r="L44" s="102"/>
      <c r="M44" s="211"/>
      <c r="N44" s="211"/>
      <c r="O44" s="211"/>
    </row>
    <row r="45" spans="1:15">
      <c r="A45" s="281"/>
      <c r="B45" s="28"/>
      <c r="C45" s="274"/>
      <c r="D45" s="102"/>
      <c r="E45" s="102"/>
      <c r="F45" s="102"/>
      <c r="G45" s="102"/>
      <c r="H45" s="102"/>
      <c r="I45" s="102"/>
      <c r="J45" s="102"/>
      <c r="K45" s="102"/>
      <c r="L45" s="102"/>
      <c r="M45" s="211"/>
      <c r="N45" s="211"/>
      <c r="O45" s="211"/>
    </row>
    <row r="46" spans="1:15">
      <c r="A46" s="281"/>
      <c r="B46" s="28"/>
      <c r="C46" s="274"/>
      <c r="D46" s="102"/>
      <c r="E46" s="102"/>
      <c r="F46" s="102"/>
      <c r="G46" s="102"/>
      <c r="H46" s="102"/>
      <c r="I46" s="102"/>
      <c r="J46" s="102"/>
      <c r="K46" s="102"/>
      <c r="L46" s="102"/>
      <c r="M46" s="211"/>
      <c r="N46" s="211"/>
      <c r="O46" s="211"/>
    </row>
    <row r="47" spans="1:15">
      <c r="A47" s="281"/>
      <c r="B47" s="28"/>
      <c r="C47" s="274"/>
      <c r="D47" s="102"/>
      <c r="E47" s="102"/>
      <c r="F47" s="102"/>
      <c r="G47" s="102"/>
      <c r="H47" s="102"/>
      <c r="I47" s="102"/>
      <c r="J47" s="102"/>
      <c r="K47" s="102"/>
      <c r="L47" s="102"/>
      <c r="M47" s="211"/>
      <c r="N47" s="211"/>
      <c r="O47" s="211"/>
    </row>
    <row r="48" spans="1:15">
      <c r="A48" s="281"/>
      <c r="B48" s="28"/>
      <c r="C48" s="274"/>
      <c r="D48" s="102"/>
      <c r="E48" s="102"/>
      <c r="F48" s="102"/>
      <c r="G48" s="102"/>
      <c r="H48" s="102"/>
      <c r="I48" s="102"/>
      <c r="J48" s="102"/>
      <c r="K48" s="102"/>
      <c r="L48" s="102"/>
      <c r="M48" s="211"/>
      <c r="N48" s="211"/>
      <c r="O48" s="211"/>
    </row>
    <row r="49" spans="1:15">
      <c r="A49" s="281"/>
      <c r="B49" s="28"/>
      <c r="C49" s="274"/>
      <c r="D49" s="102"/>
      <c r="E49" s="102"/>
      <c r="F49" s="102"/>
      <c r="G49" s="102"/>
      <c r="H49" s="102"/>
      <c r="I49" s="102"/>
      <c r="J49" s="102"/>
      <c r="K49" s="102"/>
      <c r="L49" s="102"/>
      <c r="M49" s="211"/>
      <c r="N49" s="211"/>
      <c r="O49" s="211"/>
    </row>
    <row r="50" spans="1:15">
      <c r="A50" s="281"/>
      <c r="B50" s="28"/>
      <c r="C50" s="274"/>
      <c r="D50" s="102"/>
      <c r="E50" s="102"/>
      <c r="F50" s="102"/>
      <c r="G50" s="102"/>
      <c r="H50" s="102"/>
      <c r="I50" s="102"/>
      <c r="J50" s="102"/>
      <c r="K50" s="102"/>
      <c r="L50" s="102"/>
      <c r="M50" s="211"/>
      <c r="N50" s="211"/>
      <c r="O50" s="211"/>
    </row>
    <row r="51" spans="1:15">
      <c r="A51" s="211"/>
      <c r="B51" s="211"/>
      <c r="C51" s="211"/>
      <c r="D51" s="211"/>
      <c r="E51" s="211"/>
      <c r="F51" s="211"/>
      <c r="G51" s="211"/>
      <c r="H51" s="211"/>
      <c r="I51" s="211"/>
      <c r="J51" s="211"/>
      <c r="K51" s="211"/>
      <c r="L51" s="211"/>
      <c r="M51" s="211"/>
      <c r="N51" s="211"/>
      <c r="O51" s="211"/>
    </row>
    <row r="52" spans="1:15">
      <c r="A52" s="275" t="s">
        <v>356</v>
      </c>
      <c r="B52" s="211" t="s">
        <v>387</v>
      </c>
      <c r="C52" s="211"/>
      <c r="D52" s="211"/>
      <c r="E52" s="211"/>
      <c r="F52" s="211"/>
      <c r="G52" s="211"/>
      <c r="H52" s="211"/>
      <c r="I52" s="211"/>
      <c r="J52" s="211"/>
      <c r="K52" s="211"/>
      <c r="L52" s="211"/>
      <c r="M52" s="211"/>
      <c r="N52" s="211"/>
      <c r="O52" s="211"/>
    </row>
    <row r="53" spans="1:15">
      <c r="A53" s="275" t="s">
        <v>357</v>
      </c>
      <c r="B53" s="211" t="s">
        <v>284</v>
      </c>
      <c r="C53" s="211"/>
      <c r="D53" s="211"/>
      <c r="E53" s="211"/>
      <c r="F53" s="211"/>
      <c r="G53" s="211"/>
      <c r="H53" s="211"/>
      <c r="I53" s="211"/>
      <c r="J53" s="211"/>
      <c r="K53" s="211"/>
      <c r="L53" s="211"/>
      <c r="M53" s="211"/>
      <c r="N53" s="211"/>
      <c r="O53" s="211"/>
    </row>
    <row r="54" spans="1:15">
      <c r="A54" s="211"/>
      <c r="B54" s="211"/>
      <c r="C54" s="211"/>
      <c r="D54" s="211"/>
      <c r="E54" s="211"/>
      <c r="F54" s="211"/>
      <c r="G54" s="211"/>
      <c r="H54" s="211"/>
      <c r="I54" s="211"/>
      <c r="J54" s="211"/>
      <c r="K54" s="211"/>
      <c r="L54" s="211"/>
      <c r="M54" s="211"/>
      <c r="N54" s="211"/>
      <c r="O54" s="211"/>
    </row>
    <row r="55" spans="1:15">
      <c r="A55" s="211"/>
      <c r="B55" s="211" t="s">
        <v>225</v>
      </c>
      <c r="C55" s="211"/>
      <c r="D55" s="211"/>
      <c r="E55" s="211"/>
      <c r="F55" s="211"/>
      <c r="G55" s="211"/>
      <c r="H55" s="211"/>
      <c r="I55" s="211"/>
      <c r="J55" s="211"/>
      <c r="K55" s="211"/>
      <c r="L55" s="211"/>
      <c r="M55" s="211"/>
      <c r="N55" s="211"/>
      <c r="O55" s="211"/>
    </row>
    <row r="56" spans="1:15">
      <c r="A56" s="211"/>
      <c r="B56" s="211"/>
      <c r="C56" s="211"/>
      <c r="D56" s="211"/>
      <c r="E56" s="211"/>
      <c r="F56" s="211"/>
      <c r="G56" s="211"/>
      <c r="H56" s="211"/>
      <c r="I56" s="211"/>
      <c r="J56" s="211"/>
      <c r="K56" s="211"/>
      <c r="L56" s="211"/>
      <c r="M56" s="42" t="s">
        <v>273</v>
      </c>
      <c r="N56" s="211"/>
      <c r="O56" s="211"/>
    </row>
    <row r="57" spans="1:15">
      <c r="A57" s="99" t="str">
        <f>A2</f>
        <v>Paid Loss Development Factors</v>
      </c>
      <c r="B57" s="99"/>
      <c r="C57" s="99"/>
      <c r="D57" s="99"/>
      <c r="E57" s="99"/>
      <c r="F57" s="99"/>
      <c r="G57" s="99"/>
      <c r="H57" s="99"/>
      <c r="I57" s="99"/>
      <c r="J57" s="99"/>
      <c r="K57" s="99"/>
      <c r="L57" s="99"/>
      <c r="M57" s="99"/>
      <c r="N57" s="211"/>
      <c r="O57" s="211"/>
    </row>
    <row r="58" spans="1:15">
      <c r="A58" s="99" t="str">
        <f>A3</f>
        <v>Adjusted for the Impact of Claim Settlement Rate</v>
      </c>
      <c r="B58" s="99"/>
      <c r="C58" s="99"/>
      <c r="D58" s="99"/>
      <c r="E58" s="99"/>
      <c r="F58" s="99"/>
      <c r="G58" s="99"/>
      <c r="H58" s="99"/>
      <c r="I58" s="99"/>
      <c r="J58" s="99"/>
      <c r="K58" s="99"/>
      <c r="L58" s="99"/>
      <c r="M58" s="99"/>
      <c r="N58" s="211"/>
      <c r="O58" s="211"/>
    </row>
    <row r="59" spans="1:15">
      <c r="A59" s="99" t="str">
        <f>A4</f>
        <v>Changes on Later-Period Development</v>
      </c>
      <c r="B59" s="99"/>
      <c r="C59" s="99"/>
      <c r="D59" s="99"/>
      <c r="E59" s="99"/>
      <c r="F59" s="99"/>
      <c r="G59" s="99"/>
      <c r="H59" s="99"/>
      <c r="I59" s="99"/>
      <c r="J59" s="99"/>
      <c r="K59" s="99"/>
      <c r="L59" s="99"/>
      <c r="M59" s="99"/>
      <c r="N59" s="211"/>
      <c r="O59" s="211"/>
    </row>
    <row r="60" spans="1:15">
      <c r="A60" s="99"/>
      <c r="B60" s="99"/>
      <c r="C60" s="99"/>
      <c r="D60" s="99"/>
      <c r="E60" s="99"/>
      <c r="F60" s="99"/>
      <c r="G60" s="99"/>
      <c r="H60" s="99"/>
      <c r="I60" s="99"/>
      <c r="J60" s="99"/>
      <c r="K60" s="99"/>
      <c r="L60" s="99"/>
      <c r="M60" s="99"/>
      <c r="N60" s="211"/>
      <c r="O60" s="211"/>
    </row>
    <row r="61" spans="1:15">
      <c r="A61" s="99"/>
      <c r="B61" s="99"/>
      <c r="C61" s="99"/>
      <c r="D61" s="99"/>
      <c r="E61" s="99"/>
      <c r="F61" s="99"/>
      <c r="G61" s="99"/>
      <c r="H61" s="99"/>
      <c r="I61" s="99"/>
      <c r="J61" s="99"/>
      <c r="K61" s="99"/>
      <c r="L61" s="99"/>
      <c r="M61" s="99"/>
      <c r="N61" s="211"/>
      <c r="O61" s="211"/>
    </row>
    <row r="62" spans="1:15">
      <c r="A62" s="211"/>
      <c r="B62" s="211"/>
      <c r="C62" s="211"/>
      <c r="D62" s="211"/>
      <c r="E62" s="211"/>
      <c r="F62" s="211"/>
      <c r="G62" s="211"/>
      <c r="H62" s="211"/>
      <c r="I62" s="211"/>
      <c r="J62" s="211"/>
      <c r="K62" s="211"/>
      <c r="L62" s="211"/>
      <c r="M62" s="211"/>
      <c r="N62" s="211"/>
      <c r="O62" s="211"/>
    </row>
    <row r="63" spans="1:15">
      <c r="A63" s="280" t="s">
        <v>289</v>
      </c>
      <c r="B63" s="280"/>
      <c r="C63" s="280"/>
      <c r="D63" s="280"/>
      <c r="E63" s="280"/>
      <c r="F63" s="280"/>
      <c r="G63" s="280"/>
      <c r="H63" s="280"/>
      <c r="I63" s="280"/>
      <c r="J63" s="280"/>
      <c r="K63" s="280"/>
      <c r="L63" s="280"/>
      <c r="M63" s="211"/>
      <c r="N63" s="211"/>
      <c r="O63" s="211"/>
    </row>
    <row r="64" spans="1:15">
      <c r="A64" s="281"/>
      <c r="B64" s="281"/>
      <c r="C64" s="281"/>
      <c r="D64" s="281"/>
      <c r="E64" s="281"/>
      <c r="F64" s="281"/>
      <c r="G64" s="281"/>
      <c r="H64" s="281"/>
      <c r="I64" s="281"/>
      <c r="J64" s="281"/>
      <c r="K64" s="281"/>
      <c r="L64" s="281"/>
      <c r="M64" s="211"/>
      <c r="N64" s="211"/>
      <c r="O64" s="211"/>
    </row>
    <row r="65" spans="1:15">
      <c r="A65" s="281"/>
      <c r="B65" s="28" t="s">
        <v>183</v>
      </c>
      <c r="C65" s="101" t="s">
        <v>234</v>
      </c>
      <c r="D65" s="273"/>
      <c r="E65" s="273"/>
      <c r="F65" s="273"/>
      <c r="G65" s="273"/>
      <c r="H65" s="273"/>
      <c r="I65" s="273"/>
      <c r="J65" s="273"/>
      <c r="K65" s="273"/>
      <c r="L65" s="273"/>
      <c r="M65" s="211"/>
      <c r="N65" s="211"/>
      <c r="O65" s="211"/>
    </row>
    <row r="66" spans="1:15">
      <c r="A66" s="281"/>
      <c r="B66" s="30" t="s">
        <v>8</v>
      </c>
      <c r="C66" s="66" t="str">
        <f>C$11-12&amp;"-"&amp;C$11</f>
        <v>300-312</v>
      </c>
      <c r="D66" s="66" t="str">
        <f>C$11&amp;"-"&amp;D$11</f>
        <v>312-324</v>
      </c>
      <c r="E66" s="66" t="str">
        <f t="shared" ref="E66:L66" si="26">D$11&amp;"-"&amp;E$11</f>
        <v>324-336</v>
      </c>
      <c r="F66" s="66" t="str">
        <f t="shared" si="26"/>
        <v>336-348</v>
      </c>
      <c r="G66" s="66" t="str">
        <f t="shared" si="26"/>
        <v>348-360</v>
      </c>
      <c r="H66" s="66" t="str">
        <f t="shared" si="26"/>
        <v>360-372</v>
      </c>
      <c r="I66" s="66" t="str">
        <f t="shared" si="26"/>
        <v>372-384</v>
      </c>
      <c r="J66" s="66" t="str">
        <f t="shared" si="26"/>
        <v>384-396</v>
      </c>
      <c r="K66" s="66" t="str">
        <f t="shared" si="26"/>
        <v>396-408</v>
      </c>
      <c r="L66" s="66" t="str">
        <f t="shared" si="26"/>
        <v>408-420</v>
      </c>
      <c r="M66" s="211"/>
      <c r="N66" s="211"/>
      <c r="O66" s="211"/>
    </row>
    <row r="67" spans="1:15">
      <c r="A67" s="281"/>
      <c r="B67" s="28">
        <f t="shared" ref="B67:B69" si="27">B68-1</f>
        <v>1989</v>
      </c>
      <c r="C67" s="355"/>
      <c r="D67" s="355"/>
      <c r="E67" s="355"/>
      <c r="F67" s="355"/>
      <c r="G67" s="355"/>
      <c r="H67" s="355"/>
      <c r="I67" s="355"/>
      <c r="J67" s="355">
        <v>0.13513513513513514</v>
      </c>
      <c r="K67" s="355">
        <v>-1.9886363636369697E-2</v>
      </c>
      <c r="L67" s="355">
        <v>9.4707520891411892E-2</v>
      </c>
      <c r="M67" s="211"/>
      <c r="N67" s="211"/>
      <c r="O67" s="211"/>
    </row>
    <row r="68" spans="1:15">
      <c r="A68" s="281"/>
      <c r="B68" s="28">
        <f t="shared" si="27"/>
        <v>1990</v>
      </c>
      <c r="C68" s="355"/>
      <c r="D68" s="355"/>
      <c r="E68" s="355"/>
      <c r="F68" s="355"/>
      <c r="G68" s="355"/>
      <c r="H68" s="355"/>
      <c r="I68" s="355">
        <v>0.17834706138472181</v>
      </c>
      <c r="J68" s="355">
        <v>0.14565792836866351</v>
      </c>
      <c r="K68" s="355">
        <v>7.0202318281637116E-2</v>
      </c>
      <c r="L68" s="355"/>
      <c r="M68" s="211"/>
      <c r="N68" s="211"/>
      <c r="O68" s="211"/>
    </row>
    <row r="69" spans="1:15">
      <c r="A69" s="281"/>
      <c r="B69" s="28">
        <f t="shared" si="27"/>
        <v>1991</v>
      </c>
      <c r="C69" s="355"/>
      <c r="D69" s="355"/>
      <c r="E69" s="355"/>
      <c r="F69" s="355"/>
      <c r="G69" s="355"/>
      <c r="H69" s="355">
        <v>0.1408011289568005</v>
      </c>
      <c r="I69" s="355">
        <v>8.603432242949445E-2</v>
      </c>
      <c r="J69" s="355">
        <v>0.11430434558771546</v>
      </c>
      <c r="K69" s="355"/>
      <c r="L69" s="355"/>
      <c r="M69" s="211"/>
      <c r="N69" s="211"/>
      <c r="O69" s="211"/>
    </row>
    <row r="70" spans="1:15">
      <c r="A70" s="281"/>
      <c r="B70" s="28">
        <f t="shared" ref="B70:B75" si="28">B71-1</f>
        <v>1992</v>
      </c>
      <c r="C70" s="355"/>
      <c r="D70" s="355"/>
      <c r="E70" s="355"/>
      <c r="F70" s="355"/>
      <c r="G70" s="355">
        <v>0.14599539144909873</v>
      </c>
      <c r="H70" s="355">
        <v>0.12877044631483958</v>
      </c>
      <c r="I70" s="355">
        <v>7.8998219337236497E-2</v>
      </c>
      <c r="J70" s="355"/>
      <c r="K70" s="355"/>
      <c r="L70" s="355"/>
      <c r="M70" s="211"/>
      <c r="N70" s="211"/>
      <c r="O70" s="211"/>
    </row>
    <row r="71" spans="1:15">
      <c r="A71" s="281"/>
      <c r="B71" s="28">
        <f t="shared" si="28"/>
        <v>1993</v>
      </c>
      <c r="C71" s="355"/>
      <c r="D71" s="355"/>
      <c r="E71" s="355"/>
      <c r="F71" s="355">
        <v>0.14730803416804122</v>
      </c>
      <c r="G71" s="355">
        <v>9.5470667926911501E-2</v>
      </c>
      <c r="H71" s="355">
        <v>4.2721543712060023E-2</v>
      </c>
      <c r="I71" s="355"/>
      <c r="J71" s="355"/>
      <c r="K71" s="355"/>
      <c r="L71" s="355"/>
      <c r="M71" s="211"/>
      <c r="N71" s="211"/>
      <c r="O71" s="211"/>
    </row>
    <row r="72" spans="1:15">
      <c r="A72" s="281"/>
      <c r="B72" s="28">
        <f t="shared" si="28"/>
        <v>1994</v>
      </c>
      <c r="C72" s="355"/>
      <c r="D72" s="355"/>
      <c r="E72" s="355">
        <v>0.16612380648442102</v>
      </c>
      <c r="F72" s="355">
        <v>9.2230921408693073E-2</v>
      </c>
      <c r="G72" s="355">
        <v>6.9089185826033475E-2</v>
      </c>
      <c r="H72" s="355"/>
      <c r="I72" s="355"/>
      <c r="J72" s="355"/>
      <c r="K72" s="355"/>
      <c r="L72" s="355"/>
      <c r="M72" s="211"/>
      <c r="N72" s="211"/>
      <c r="O72" s="211"/>
    </row>
    <row r="73" spans="1:15">
      <c r="A73" s="281"/>
      <c r="B73" s="28">
        <f t="shared" si="28"/>
        <v>1995</v>
      </c>
      <c r="C73" s="355"/>
      <c r="D73" s="355">
        <v>0.11573472674649259</v>
      </c>
      <c r="E73" s="355">
        <v>0.10147059451188191</v>
      </c>
      <c r="F73" s="355">
        <v>8.8379711485168502E-2</v>
      </c>
      <c r="G73" s="355"/>
      <c r="H73" s="355"/>
      <c r="I73" s="355"/>
      <c r="J73" s="355"/>
      <c r="K73" s="355"/>
      <c r="L73" s="355"/>
      <c r="M73" s="211"/>
      <c r="N73" s="211"/>
      <c r="O73" s="211"/>
    </row>
    <row r="74" spans="1:15">
      <c r="A74" s="281"/>
      <c r="B74" s="28">
        <f t="shared" si="28"/>
        <v>1996</v>
      </c>
      <c r="C74" s="355">
        <v>0.14647633426900142</v>
      </c>
      <c r="D74" s="355">
        <v>9.0463023279464275E-2</v>
      </c>
      <c r="E74" s="355">
        <v>8.3371320645831859E-2</v>
      </c>
      <c r="F74" s="355"/>
      <c r="G74" s="355"/>
      <c r="H74" s="355"/>
      <c r="I74" s="355"/>
      <c r="J74" s="355"/>
      <c r="K74" s="355"/>
      <c r="L74" s="355"/>
      <c r="M74" s="211"/>
      <c r="N74" s="211"/>
      <c r="O74" s="211"/>
    </row>
    <row r="75" spans="1:15">
      <c r="A75" s="281"/>
      <c r="B75" s="28">
        <f t="shared" si="28"/>
        <v>1997</v>
      </c>
      <c r="C75" s="355">
        <v>0.1002960562947262</v>
      </c>
      <c r="D75" s="355">
        <v>0.11482103497081536</v>
      </c>
      <c r="E75" s="355"/>
      <c r="F75" s="355"/>
      <c r="G75" s="355"/>
      <c r="H75" s="355"/>
      <c r="I75" s="355"/>
      <c r="J75" s="355"/>
      <c r="K75" s="355"/>
      <c r="L75" s="355"/>
      <c r="M75" s="211"/>
      <c r="N75" s="211"/>
      <c r="O75" s="211"/>
    </row>
    <row r="76" spans="1:15">
      <c r="A76" s="281"/>
      <c r="B76" s="28">
        <f>$B$21</f>
        <v>1998</v>
      </c>
      <c r="C76" s="355">
        <v>7.5091928549431086E-2</v>
      </c>
      <c r="D76" s="355"/>
      <c r="E76" s="355"/>
      <c r="F76" s="355"/>
      <c r="G76" s="355"/>
      <c r="H76" s="355"/>
      <c r="I76" s="355"/>
      <c r="J76" s="355"/>
      <c r="K76" s="355"/>
      <c r="L76" s="355"/>
      <c r="M76" s="211"/>
      <c r="N76" s="211"/>
      <c r="O76" s="211"/>
    </row>
    <row r="77" spans="1:15">
      <c r="A77" s="281"/>
      <c r="B77" s="28">
        <f>$B$22</f>
        <v>1999</v>
      </c>
      <c r="C77" s="225"/>
      <c r="D77" s="102"/>
      <c r="E77" s="102"/>
      <c r="F77" s="102"/>
      <c r="G77" s="102"/>
      <c r="H77" s="102"/>
      <c r="I77" s="102"/>
      <c r="J77" s="102"/>
      <c r="K77" s="102"/>
      <c r="L77" s="102"/>
      <c r="M77" s="211"/>
      <c r="N77" s="211"/>
      <c r="O77" s="211"/>
    </row>
    <row r="78" spans="1:15">
      <c r="A78" s="281"/>
      <c r="B78" s="281"/>
      <c r="C78" s="281"/>
      <c r="D78" s="281"/>
      <c r="E78" s="281"/>
      <c r="F78" s="281"/>
      <c r="G78" s="281"/>
      <c r="H78" s="281"/>
      <c r="I78" s="281"/>
      <c r="J78" s="281"/>
      <c r="K78" s="281"/>
      <c r="L78" s="281"/>
      <c r="M78" s="211"/>
      <c r="N78" s="211"/>
      <c r="O78" s="211"/>
    </row>
    <row r="79" spans="1:15">
      <c r="A79" s="100"/>
      <c r="B79" s="167" t="s">
        <v>224</v>
      </c>
      <c r="C79" s="354">
        <f ca="1">AVERAGE(OFFSET(C$75:C$77,-COUNTA($C$66:C$66),0))</f>
        <v>0.1072881063710529</v>
      </c>
      <c r="D79" s="354">
        <f ca="1">AVERAGE(OFFSET(D$75:D$77,-COUNTA($C$66:D$66),0))</f>
        <v>0.10700626166559074</v>
      </c>
      <c r="E79" s="354">
        <f ca="1">AVERAGE(OFFSET(E$75:E$77,-COUNTA($C$66:E$66),0))</f>
        <v>0.1169885738807116</v>
      </c>
      <c r="F79" s="354">
        <f ca="1">AVERAGE(OFFSET(F$75:F$77,-COUNTA($C$66:F$66),0))</f>
        <v>0.1093062223539676</v>
      </c>
      <c r="G79" s="354">
        <f ca="1">AVERAGE(OFFSET(G$75:G$77,-COUNTA($C$66:G$66),0))</f>
        <v>0.10351841506734789</v>
      </c>
      <c r="H79" s="354">
        <f ca="1">AVERAGE(OFFSET(H$75:H$77,-COUNTA($C$66:H$66),0))</f>
        <v>0.10409770632790005</v>
      </c>
      <c r="I79" s="354">
        <f ca="1">AVERAGE(OFFSET(I$75:I$77,-COUNTA($C$66:I$66),0))</f>
        <v>0.11445986771715093</v>
      </c>
      <c r="J79" s="354">
        <f ca="1">AVERAGE(OFFSET(J$75:J$77,-COUNTA($C$66:J$66),0))</f>
        <v>0.13169913636383804</v>
      </c>
      <c r="K79" s="354">
        <f ca="1">AVERAGE(OFFSET(K$75:K$77,-COUNTA($C$66:K$66),0))</f>
        <v>2.5157977322633709E-2</v>
      </c>
      <c r="L79" s="274"/>
      <c r="M79" s="274"/>
      <c r="N79" s="211"/>
      <c r="O79" s="211"/>
    </row>
    <row r="80" spans="1:15">
      <c r="A80" s="100"/>
      <c r="B80" s="167"/>
      <c r="C80" s="274"/>
      <c r="D80" s="274"/>
      <c r="E80" s="274"/>
      <c r="F80" s="274"/>
      <c r="G80" s="274"/>
      <c r="H80" s="274"/>
      <c r="I80" s="274"/>
      <c r="J80" s="274"/>
      <c r="K80" s="274"/>
      <c r="L80" s="274"/>
      <c r="M80" s="274"/>
      <c r="N80" s="211"/>
      <c r="O80" s="211"/>
    </row>
    <row r="81" spans="1:15">
      <c r="A81" s="100"/>
      <c r="B81" s="167" t="s">
        <v>290</v>
      </c>
      <c r="C81" s="354">
        <f ca="1">1-C79</f>
        <v>0.8927118936289471</v>
      </c>
      <c r="D81" s="354">
        <f t="shared" ref="D81:K81" ca="1" si="29">1-D79</f>
        <v>0.89299373833440931</v>
      </c>
      <c r="E81" s="354">
        <f t="shared" ca="1" si="29"/>
        <v>0.8830114261192884</v>
      </c>
      <c r="F81" s="354">
        <f t="shared" ca="1" si="29"/>
        <v>0.89069377764603241</v>
      </c>
      <c r="G81" s="354">
        <f t="shared" ca="1" si="29"/>
        <v>0.89648158493265206</v>
      </c>
      <c r="H81" s="354">
        <f t="shared" ca="1" si="29"/>
        <v>0.89590229367209995</v>
      </c>
      <c r="I81" s="354">
        <f t="shared" ca="1" si="29"/>
        <v>0.88554013228284911</v>
      </c>
      <c r="J81" s="354">
        <f t="shared" ca="1" si="29"/>
        <v>0.86830086363616199</v>
      </c>
      <c r="K81" s="354">
        <f t="shared" ca="1" si="29"/>
        <v>0.9748420226773663</v>
      </c>
      <c r="L81" s="274"/>
      <c r="M81" s="274"/>
      <c r="N81" s="172"/>
      <c r="O81" s="172"/>
    </row>
    <row r="82" spans="1:15">
      <c r="A82" s="172"/>
      <c r="B82" s="172"/>
      <c r="C82" s="172"/>
      <c r="D82" s="172"/>
      <c r="E82" s="172"/>
      <c r="F82" s="172"/>
      <c r="G82" s="172"/>
      <c r="H82" s="172"/>
      <c r="I82" s="172"/>
      <c r="J82" s="172"/>
      <c r="K82" s="172"/>
      <c r="L82" s="172"/>
      <c r="M82" s="172"/>
      <c r="N82" s="172"/>
      <c r="O82" s="172"/>
    </row>
    <row r="83" spans="1:15">
      <c r="A83" s="172"/>
      <c r="B83" s="172"/>
      <c r="C83" s="172"/>
      <c r="D83" s="172"/>
      <c r="E83" s="172"/>
      <c r="F83" s="172"/>
      <c r="G83" s="172"/>
      <c r="H83" s="172"/>
      <c r="I83" s="172"/>
      <c r="J83" s="172"/>
      <c r="K83" s="172"/>
      <c r="L83" s="172"/>
      <c r="M83" s="172"/>
      <c r="N83" s="172"/>
      <c r="O83" s="172"/>
    </row>
    <row r="84" spans="1:15">
      <c r="A84" s="280" t="s">
        <v>295</v>
      </c>
      <c r="B84" s="280"/>
      <c r="C84" s="280"/>
      <c r="D84" s="280"/>
      <c r="E84" s="280"/>
      <c r="F84" s="280"/>
      <c r="G84" s="280"/>
      <c r="H84" s="280"/>
      <c r="I84" s="280"/>
      <c r="J84" s="280"/>
      <c r="K84" s="280"/>
      <c r="L84" s="280"/>
      <c r="M84" s="172"/>
      <c r="N84" s="172"/>
      <c r="O84" s="172"/>
    </row>
    <row r="85" spans="1:15">
      <c r="A85" s="281"/>
      <c r="B85" s="281"/>
      <c r="C85" s="281"/>
      <c r="D85" s="281"/>
      <c r="E85" s="281"/>
      <c r="F85" s="281"/>
      <c r="G85" s="281"/>
      <c r="H85" s="281"/>
      <c r="I85" s="281"/>
      <c r="J85" s="281"/>
      <c r="K85" s="281"/>
      <c r="L85" s="281"/>
      <c r="M85" s="172"/>
      <c r="N85" s="172"/>
      <c r="O85" s="172"/>
    </row>
    <row r="86" spans="1:15">
      <c r="A86" s="281"/>
      <c r="B86" s="28" t="s">
        <v>183</v>
      </c>
      <c r="C86" s="101" t="s">
        <v>234</v>
      </c>
      <c r="D86" s="273"/>
      <c r="E86" s="273"/>
      <c r="F86" s="273"/>
      <c r="G86" s="273"/>
      <c r="H86" s="273"/>
      <c r="I86" s="273"/>
      <c r="J86" s="273"/>
      <c r="K86" s="273"/>
      <c r="L86" s="172"/>
      <c r="M86" s="172"/>
      <c r="N86" s="172"/>
      <c r="O86" s="172"/>
    </row>
    <row r="87" spans="1:15">
      <c r="A87" s="281"/>
      <c r="B87" s="30" t="s">
        <v>8</v>
      </c>
      <c r="C87" s="66">
        <v>312</v>
      </c>
      <c r="D87" s="66">
        <f>+C87+12</f>
        <v>324</v>
      </c>
      <c r="E87" s="66">
        <f>+D87+12</f>
        <v>336</v>
      </c>
      <c r="F87" s="66">
        <f>+E87+12</f>
        <v>348</v>
      </c>
      <c r="G87" s="66">
        <f>+F87+12</f>
        <v>360</v>
      </c>
      <c r="H87" s="66">
        <f t="shared" ref="H87:K87" si="30">+G87+12</f>
        <v>372</v>
      </c>
      <c r="I87" s="66">
        <f t="shared" si="30"/>
        <v>384</v>
      </c>
      <c r="J87" s="66">
        <f t="shared" si="30"/>
        <v>396</v>
      </c>
      <c r="K87" s="66">
        <f t="shared" si="30"/>
        <v>408</v>
      </c>
      <c r="L87" s="172"/>
      <c r="M87" s="172"/>
      <c r="N87" s="172"/>
      <c r="O87" s="172"/>
    </row>
    <row r="88" spans="1:15">
      <c r="A88" s="281"/>
      <c r="B88" s="28">
        <f t="shared" ref="B88:B90" si="31">B89-1</f>
        <v>1989</v>
      </c>
      <c r="C88" s="209"/>
      <c r="D88" s="209"/>
      <c r="E88" s="209"/>
      <c r="F88" s="209"/>
      <c r="G88" s="209"/>
      <c r="H88" s="209"/>
      <c r="I88" s="209"/>
      <c r="J88" s="209"/>
      <c r="K88" s="209"/>
      <c r="L88" s="172"/>
      <c r="M88" s="172"/>
      <c r="N88" s="172"/>
      <c r="O88" s="172"/>
    </row>
    <row r="89" spans="1:15">
      <c r="A89" s="281"/>
      <c r="B89" s="28">
        <f t="shared" si="31"/>
        <v>1990</v>
      </c>
      <c r="C89" s="209"/>
      <c r="D89" s="209"/>
      <c r="E89" s="209"/>
      <c r="F89" s="209"/>
      <c r="G89" s="209"/>
      <c r="H89" s="209"/>
      <c r="I89" s="209"/>
      <c r="J89" s="209"/>
      <c r="K89" s="356">
        <v>278.13542051034165</v>
      </c>
      <c r="L89" s="172"/>
      <c r="M89" s="172"/>
      <c r="N89" s="172"/>
      <c r="O89" s="172"/>
    </row>
    <row r="90" spans="1:15">
      <c r="A90" s="281"/>
      <c r="B90" s="28">
        <f t="shared" si="31"/>
        <v>1991</v>
      </c>
      <c r="C90" s="209"/>
      <c r="D90" s="209"/>
      <c r="E90" s="209"/>
      <c r="F90" s="209"/>
      <c r="G90" s="209"/>
      <c r="H90" s="209"/>
      <c r="I90" s="209"/>
      <c r="J90" s="356">
        <v>395.17726244596997</v>
      </c>
      <c r="K90" s="352">
        <v>385.2354018389338</v>
      </c>
      <c r="L90" s="172"/>
      <c r="M90" s="172"/>
      <c r="N90" s="172"/>
      <c r="O90" s="172"/>
    </row>
    <row r="91" spans="1:15">
      <c r="A91" s="281"/>
      <c r="B91" s="28">
        <f t="shared" ref="B91:B97" si="32">B92-1</f>
        <v>1992</v>
      </c>
      <c r="C91" s="209"/>
      <c r="D91" s="209"/>
      <c r="E91" s="209"/>
      <c r="F91" s="209"/>
      <c r="G91" s="209"/>
      <c r="H91" s="209"/>
      <c r="I91" s="356">
        <v>361.41390831398894</v>
      </c>
      <c r="J91" s="352">
        <v>313.81600871915725</v>
      </c>
      <c r="K91" s="352">
        <v>305.9210326883213</v>
      </c>
      <c r="L91" s="172"/>
      <c r="M91" s="172"/>
      <c r="N91" s="172"/>
      <c r="O91" s="172"/>
    </row>
    <row r="92" spans="1:15">
      <c r="A92" s="281"/>
      <c r="B92" s="28">
        <f t="shared" si="32"/>
        <v>1993</v>
      </c>
      <c r="C92" s="209"/>
      <c r="D92" s="209"/>
      <c r="E92" s="209"/>
      <c r="F92" s="209"/>
      <c r="G92" s="209"/>
      <c r="H92" s="356">
        <v>380.92569562979043</v>
      </c>
      <c r="I92" s="352">
        <v>337.32499089794095</v>
      </c>
      <c r="J92" s="352">
        <v>292.89958092274259</v>
      </c>
      <c r="K92" s="352">
        <v>285.53081990807931</v>
      </c>
      <c r="L92" s="172"/>
      <c r="M92" s="172"/>
      <c r="N92" s="172"/>
      <c r="O92" s="172"/>
    </row>
    <row r="93" spans="1:15">
      <c r="A93" s="281"/>
      <c r="B93" s="28">
        <f t="shared" si="32"/>
        <v>1994</v>
      </c>
      <c r="C93" s="209"/>
      <c r="D93" s="209"/>
      <c r="E93" s="209"/>
      <c r="F93" s="209"/>
      <c r="G93" s="356">
        <v>458.11753754946403</v>
      </c>
      <c r="H93" s="352">
        <v>410.42855266197921</v>
      </c>
      <c r="I93" s="352">
        <v>363.45095481694739</v>
      </c>
      <c r="J93" s="352">
        <v>315.58477795694307</v>
      </c>
      <c r="K93" s="352">
        <v>307.64530326973392</v>
      </c>
      <c r="L93" s="172"/>
      <c r="M93" s="172"/>
      <c r="N93" s="172"/>
      <c r="O93" s="172"/>
    </row>
    <row r="94" spans="1:15">
      <c r="A94" s="281"/>
      <c r="B94" s="28">
        <f t="shared" si="32"/>
        <v>1995</v>
      </c>
      <c r="C94" s="209"/>
      <c r="D94" s="209"/>
      <c r="E94" s="209"/>
      <c r="F94" s="356">
        <v>556.99995793787821</v>
      </c>
      <c r="G94" s="352">
        <v>499.34020509956957</v>
      </c>
      <c r="H94" s="352">
        <v>447.36003507140123</v>
      </c>
      <c r="I94" s="352">
        <v>396.1552646351887</v>
      </c>
      <c r="J94" s="352">
        <v>343.98195841674658</v>
      </c>
      <c r="K94" s="352">
        <v>335.32806810750299</v>
      </c>
      <c r="L94" s="172"/>
      <c r="M94" s="172"/>
      <c r="N94" s="172"/>
      <c r="O94" s="172"/>
    </row>
    <row r="95" spans="1:15">
      <c r="A95" s="281"/>
      <c r="B95" s="28">
        <f t="shared" si="32"/>
        <v>1996</v>
      </c>
      <c r="C95" s="209"/>
      <c r="D95" s="209"/>
      <c r="E95" s="356">
        <v>625.51249554185779</v>
      </c>
      <c r="F95" s="352">
        <v>557.14008761897435</v>
      </c>
      <c r="G95" s="352">
        <v>499.46582877817474</v>
      </c>
      <c r="H95" s="352">
        <v>447.47258161320315</v>
      </c>
      <c r="I95" s="352">
        <v>396.25492911470388</v>
      </c>
      <c r="J95" s="352">
        <v>344.06849717038347</v>
      </c>
      <c r="K95" s="352">
        <v>335.41242972113832</v>
      </c>
      <c r="L95" s="172"/>
      <c r="M95" s="172"/>
      <c r="N95" s="172"/>
      <c r="O95" s="172"/>
    </row>
    <row r="96" spans="1:15">
      <c r="A96" s="281"/>
      <c r="B96" s="28">
        <f t="shared" si="32"/>
        <v>1997</v>
      </c>
      <c r="C96" s="209"/>
      <c r="D96" s="356">
        <v>791.99793614639202</v>
      </c>
      <c r="E96" s="352">
        <v>699.34322708015873</v>
      </c>
      <c r="F96" s="352">
        <v>622.90066079919359</v>
      </c>
      <c r="G96" s="352">
        <v>558.41897164885734</v>
      </c>
      <c r="H96" s="352">
        <v>500.28883753022677</v>
      </c>
      <c r="I96" s="352">
        <v>443.02584336614979</v>
      </c>
      <c r="J96" s="352">
        <v>384.67972240796684</v>
      </c>
      <c r="K96" s="352">
        <v>375.00195867515021</v>
      </c>
      <c r="L96" s="172"/>
      <c r="M96" s="172"/>
      <c r="N96" s="172"/>
      <c r="O96" s="172"/>
    </row>
    <row r="97" spans="1:15">
      <c r="A97" s="281"/>
      <c r="B97" s="28">
        <f t="shared" si="32"/>
        <v>1998</v>
      </c>
      <c r="C97" s="356">
        <v>1059.2629019028682</v>
      </c>
      <c r="D97" s="352">
        <v>945.91513864919693</v>
      </c>
      <c r="E97" s="352">
        <v>835.25387556645182</v>
      </c>
      <c r="F97" s="352">
        <v>743.95542972177191</v>
      </c>
      <c r="G97" s="352">
        <v>666.94234275622637</v>
      </c>
      <c r="H97" s="352">
        <v>597.51517462234722</v>
      </c>
      <c r="I97" s="352">
        <v>529.12366677608293</v>
      </c>
      <c r="J97" s="352">
        <v>459.43853683200558</v>
      </c>
      <c r="K97" s="352">
        <v>447.87999254124202</v>
      </c>
      <c r="L97" s="172"/>
      <c r="M97" s="172"/>
      <c r="N97" s="172"/>
      <c r="O97" s="172"/>
    </row>
    <row r="98" spans="1:15">
      <c r="A98" s="281"/>
      <c r="B98" s="28">
        <v>1999</v>
      </c>
      <c r="C98" s="352">
        <v>1003.3512206421257</v>
      </c>
      <c r="D98" s="352">
        <v>895.98635738360463</v>
      </c>
      <c r="E98" s="352">
        <v>791.16619121672306</v>
      </c>
      <c r="F98" s="352">
        <v>704.68680360064627</v>
      </c>
      <c r="G98" s="352">
        <v>631.73874257303191</v>
      </c>
      <c r="H98" s="352">
        <v>565.97618847270758</v>
      </c>
      <c r="I98" s="352">
        <v>501.19462880906423</v>
      </c>
      <c r="J98" s="352">
        <v>435.18772904471609</v>
      </c>
      <c r="K98" s="352">
        <v>424.23928602632066</v>
      </c>
      <c r="L98" s="172"/>
      <c r="M98" s="172"/>
      <c r="N98" s="172"/>
      <c r="O98" s="172"/>
    </row>
    <row r="99" spans="1:15">
      <c r="A99" s="281"/>
      <c r="B99" s="28" t="s">
        <v>296</v>
      </c>
      <c r="C99" s="209"/>
      <c r="D99" s="209"/>
      <c r="E99" s="209"/>
      <c r="F99" s="209"/>
      <c r="G99" s="209"/>
      <c r="H99" s="209"/>
      <c r="I99" s="209"/>
      <c r="J99" s="209"/>
      <c r="K99" s="209"/>
      <c r="L99" s="172"/>
      <c r="M99" s="172"/>
      <c r="N99" s="172"/>
      <c r="O99" s="172"/>
    </row>
    <row r="100" spans="1:15">
      <c r="A100" s="281"/>
      <c r="B100" s="28">
        <v>2022</v>
      </c>
      <c r="C100" s="352">
        <v>663.71037719086803</v>
      </c>
      <c r="D100" s="352">
        <v>592.68921089901414</v>
      </c>
      <c r="E100" s="352">
        <v>523.35134536145392</v>
      </c>
      <c r="F100" s="352">
        <v>466.14578683612683</v>
      </c>
      <c r="G100" s="352">
        <v>417.89111379252921</v>
      </c>
      <c r="H100" s="352">
        <v>374.3896073519154</v>
      </c>
      <c r="I100" s="352">
        <v>331.53702241973912</v>
      </c>
      <c r="J100" s="352">
        <v>287.87388289442117</v>
      </c>
      <c r="K100" s="352">
        <v>280.63155827678457</v>
      </c>
      <c r="L100" s="172"/>
      <c r="M100" s="172"/>
      <c r="N100" s="172"/>
      <c r="O100" s="172"/>
    </row>
    <row r="101" spans="1:15">
      <c r="A101" s="172"/>
      <c r="B101" s="28">
        <f>B100+1</f>
        <v>2023</v>
      </c>
      <c r="C101" s="352">
        <v>685.84709748452008</v>
      </c>
      <c r="D101" s="352">
        <v>612.45716350850557</v>
      </c>
      <c r="E101" s="352">
        <v>540.80667338661954</v>
      </c>
      <c r="F101" s="352">
        <v>481.69313889491218</v>
      </c>
      <c r="G101" s="352">
        <v>431.82902860769508</v>
      </c>
      <c r="H101" s="352">
        <v>386.87661720382886</v>
      </c>
      <c r="I101" s="352">
        <v>342.59477077581982</v>
      </c>
      <c r="J101" s="352">
        <v>297.47533534187738</v>
      </c>
      <c r="K101" s="352">
        <v>289.99145760130335</v>
      </c>
      <c r="L101" s="172"/>
      <c r="M101" s="172"/>
      <c r="N101" s="172"/>
      <c r="O101" s="172"/>
    </row>
    <row r="102" spans="1:15">
      <c r="A102" s="172"/>
      <c r="B102" s="28"/>
      <c r="C102" s="209"/>
      <c r="D102" s="209"/>
      <c r="E102" s="209"/>
      <c r="F102" s="209"/>
      <c r="G102" s="209"/>
      <c r="H102" s="209"/>
      <c r="I102" s="209"/>
      <c r="J102" s="209"/>
      <c r="K102" s="209"/>
      <c r="L102" s="172"/>
      <c r="M102" s="172"/>
      <c r="N102" s="172"/>
      <c r="O102" s="172"/>
    </row>
    <row r="103" spans="1:15">
      <c r="A103" s="172"/>
      <c r="B103" s="28"/>
      <c r="C103" s="209"/>
      <c r="D103" s="209"/>
      <c r="E103" s="209"/>
      <c r="F103" s="209"/>
      <c r="G103" s="209"/>
      <c r="H103" s="209"/>
      <c r="I103" s="209"/>
      <c r="J103" s="209"/>
      <c r="K103" s="209"/>
      <c r="L103" s="209"/>
      <c r="M103" s="172"/>
      <c r="N103" s="172"/>
      <c r="O103" s="172"/>
    </row>
    <row r="104" spans="1:15">
      <c r="A104" s="172"/>
      <c r="B104" s="28"/>
      <c r="C104" s="209"/>
      <c r="D104" s="209"/>
      <c r="E104" s="209"/>
      <c r="F104" s="209"/>
      <c r="G104" s="209"/>
      <c r="H104" s="209"/>
      <c r="I104" s="209"/>
      <c r="J104" s="209"/>
      <c r="K104" s="209"/>
      <c r="L104" s="209"/>
      <c r="M104" s="172"/>
      <c r="N104" s="172"/>
      <c r="O104" s="172"/>
    </row>
    <row r="105" spans="1:15">
      <c r="A105" s="275" t="s">
        <v>320</v>
      </c>
      <c r="B105" s="211" t="s">
        <v>292</v>
      </c>
      <c r="C105" s="172"/>
      <c r="D105" s="172"/>
      <c r="E105" s="172"/>
      <c r="F105" s="172"/>
      <c r="G105" s="172"/>
      <c r="H105" s="172"/>
      <c r="I105" s="172"/>
      <c r="J105" s="172"/>
      <c r="K105" s="172"/>
      <c r="L105" s="172"/>
      <c r="M105" s="172"/>
      <c r="N105" s="172"/>
      <c r="O105" s="172"/>
    </row>
    <row r="106" spans="1:15">
      <c r="A106" s="172"/>
      <c r="B106" s="211" t="s">
        <v>293</v>
      </c>
      <c r="C106" s="172"/>
      <c r="D106" s="172"/>
      <c r="E106" s="172"/>
      <c r="F106" s="172"/>
      <c r="G106" s="172"/>
      <c r="H106" s="172"/>
      <c r="I106" s="172"/>
      <c r="J106" s="172"/>
      <c r="K106" s="172"/>
      <c r="L106" s="172"/>
      <c r="M106" s="172"/>
      <c r="N106" s="172"/>
      <c r="O106" s="172"/>
    </row>
    <row r="107" spans="1:15">
      <c r="A107" s="275" t="s">
        <v>358</v>
      </c>
      <c r="B107" s="211" t="s">
        <v>291</v>
      </c>
      <c r="C107" s="172"/>
      <c r="D107" s="172"/>
      <c r="E107" s="172"/>
      <c r="F107" s="172"/>
      <c r="G107" s="172"/>
      <c r="H107" s="172"/>
      <c r="I107" s="172"/>
      <c r="J107" s="172"/>
      <c r="K107" s="172"/>
      <c r="L107" s="172"/>
      <c r="M107" s="172"/>
      <c r="N107" s="172"/>
      <c r="O107" s="172"/>
    </row>
    <row r="108" spans="1:15">
      <c r="A108" s="275" t="s">
        <v>364</v>
      </c>
      <c r="B108" s="211" t="s">
        <v>313</v>
      </c>
      <c r="C108" s="172"/>
      <c r="D108" s="172"/>
      <c r="E108" s="172"/>
      <c r="F108" s="172"/>
      <c r="G108" s="172"/>
      <c r="H108" s="172"/>
      <c r="I108" s="172"/>
      <c r="J108" s="172"/>
      <c r="K108" s="172"/>
      <c r="L108" s="172"/>
      <c r="M108" s="172"/>
      <c r="N108" s="172"/>
      <c r="O108" s="172"/>
    </row>
    <row r="109" spans="1:15">
      <c r="A109" s="275"/>
      <c r="B109" s="211" t="s">
        <v>314</v>
      </c>
      <c r="C109" s="172"/>
      <c r="D109" s="172"/>
      <c r="E109" s="172"/>
      <c r="F109" s="172"/>
      <c r="G109" s="172"/>
      <c r="H109" s="172"/>
      <c r="I109" s="172"/>
      <c r="J109" s="172"/>
      <c r="K109" s="172"/>
      <c r="L109" s="172"/>
      <c r="M109" s="172"/>
      <c r="N109" s="172"/>
      <c r="O109" s="172"/>
    </row>
    <row r="110" spans="1:15">
      <c r="A110" s="275"/>
      <c r="B110" s="211" t="s">
        <v>315</v>
      </c>
      <c r="C110" s="172"/>
      <c r="D110" s="172"/>
      <c r="E110" s="172"/>
      <c r="F110" s="172"/>
      <c r="G110" s="172"/>
      <c r="H110" s="172"/>
      <c r="I110" s="172"/>
      <c r="J110" s="172"/>
      <c r="K110" s="172"/>
      <c r="L110" s="172"/>
      <c r="M110" s="172"/>
      <c r="N110" s="172"/>
      <c r="O110" s="172"/>
    </row>
    <row r="111" spans="1:15">
      <c r="A111" s="172"/>
      <c r="B111" s="172"/>
      <c r="C111" s="172"/>
      <c r="D111" s="172"/>
      <c r="E111" s="172"/>
      <c r="F111" s="172"/>
      <c r="G111" s="172"/>
      <c r="H111" s="172"/>
      <c r="I111" s="172"/>
      <c r="J111" s="172"/>
      <c r="K111" s="172"/>
      <c r="L111" s="172"/>
      <c r="M111" s="172"/>
      <c r="N111" s="172"/>
      <c r="O111" s="172"/>
    </row>
    <row r="112" spans="1:15">
      <c r="A112" s="172"/>
      <c r="B112" s="211" t="s">
        <v>225</v>
      </c>
      <c r="C112" s="172"/>
      <c r="D112" s="172"/>
      <c r="E112" s="172"/>
      <c r="F112" s="172"/>
      <c r="G112" s="172"/>
      <c r="H112" s="172"/>
      <c r="I112" s="172"/>
      <c r="J112" s="172"/>
      <c r="K112" s="172"/>
      <c r="L112" s="172"/>
      <c r="M112" s="172"/>
      <c r="N112" s="172"/>
      <c r="O112" s="172"/>
    </row>
    <row r="113" spans="1:15">
      <c r="A113" s="211"/>
      <c r="B113" s="211"/>
      <c r="C113" s="211"/>
      <c r="D113" s="211"/>
      <c r="E113" s="211"/>
      <c r="F113" s="211"/>
      <c r="G113" s="211"/>
      <c r="H113" s="211"/>
      <c r="I113" s="211"/>
      <c r="J113" s="211"/>
      <c r="K113" s="211"/>
      <c r="L113" s="211"/>
      <c r="M113" s="42" t="s">
        <v>274</v>
      </c>
      <c r="N113" s="211"/>
      <c r="O113" s="211"/>
    </row>
    <row r="114" spans="1:15">
      <c r="A114" s="99" t="str">
        <f>A2</f>
        <v>Paid Loss Development Factors</v>
      </c>
      <c r="B114" s="99"/>
      <c r="C114" s="99"/>
      <c r="D114" s="99"/>
      <c r="E114" s="99"/>
      <c r="F114" s="99"/>
      <c r="G114" s="99"/>
      <c r="H114" s="99"/>
      <c r="I114" s="99"/>
      <c r="J114" s="99"/>
      <c r="K114" s="99"/>
      <c r="L114" s="99"/>
      <c r="M114" s="99"/>
      <c r="N114" s="211"/>
      <c r="O114" s="211"/>
    </row>
    <row r="115" spans="1:15">
      <c r="A115" s="99" t="str">
        <f>A3</f>
        <v>Adjusted for the Impact of Claim Settlement Rate</v>
      </c>
      <c r="B115" s="99"/>
      <c r="C115" s="99"/>
      <c r="D115" s="99"/>
      <c r="E115" s="99"/>
      <c r="F115" s="99"/>
      <c r="G115" s="99"/>
      <c r="H115" s="99"/>
      <c r="I115" s="99"/>
      <c r="J115" s="99"/>
      <c r="K115" s="99"/>
      <c r="L115" s="99"/>
      <c r="M115" s="99"/>
      <c r="N115" s="211"/>
      <c r="O115" s="211"/>
    </row>
    <row r="116" spans="1:15">
      <c r="A116" s="99" t="str">
        <f>A4</f>
        <v>Changes on Later-Period Development</v>
      </c>
      <c r="B116" s="99"/>
      <c r="C116" s="99"/>
      <c r="D116" s="99"/>
      <c r="E116" s="99"/>
      <c r="F116" s="99"/>
      <c r="G116" s="99"/>
      <c r="H116" s="99"/>
      <c r="I116" s="99"/>
      <c r="J116" s="99"/>
      <c r="K116" s="99"/>
      <c r="L116" s="99"/>
      <c r="M116" s="99"/>
      <c r="N116" s="211"/>
      <c r="O116" s="211"/>
    </row>
    <row r="117" spans="1:15">
      <c r="A117" s="99"/>
      <c r="B117" s="99"/>
      <c r="C117" s="99"/>
      <c r="D117" s="99"/>
      <c r="E117" s="99"/>
      <c r="F117" s="99"/>
      <c r="G117" s="99"/>
      <c r="H117" s="99"/>
      <c r="I117" s="99"/>
      <c r="J117" s="99"/>
      <c r="K117" s="99"/>
      <c r="L117" s="99"/>
      <c r="M117" s="99"/>
      <c r="N117" s="211"/>
      <c r="O117" s="211"/>
    </row>
    <row r="118" spans="1:15">
      <c r="A118" s="99"/>
      <c r="B118" s="99"/>
      <c r="C118" s="99"/>
      <c r="D118" s="99"/>
      <c r="E118" s="99"/>
      <c r="F118" s="99"/>
      <c r="G118" s="99"/>
      <c r="H118" s="99"/>
      <c r="I118" s="99"/>
      <c r="J118" s="99"/>
      <c r="K118" s="99"/>
      <c r="L118" s="99"/>
      <c r="M118" s="99"/>
      <c r="N118" s="211"/>
      <c r="O118" s="211"/>
    </row>
    <row r="119" spans="1:15">
      <c r="A119" s="211"/>
      <c r="B119" s="211"/>
      <c r="C119" s="211"/>
      <c r="D119" s="211"/>
      <c r="E119" s="211"/>
      <c r="F119" s="211"/>
      <c r="G119" s="211"/>
      <c r="H119" s="211"/>
      <c r="I119" s="211"/>
      <c r="J119" s="211"/>
      <c r="K119" s="211"/>
      <c r="L119" s="172"/>
      <c r="M119" s="211"/>
      <c r="N119" s="211"/>
      <c r="O119" s="211"/>
    </row>
    <row r="120" spans="1:15">
      <c r="A120" s="280" t="s">
        <v>300</v>
      </c>
      <c r="B120" s="280"/>
      <c r="C120" s="280"/>
      <c r="D120" s="280"/>
      <c r="E120" s="280"/>
      <c r="F120" s="280"/>
      <c r="G120" s="280"/>
      <c r="H120" s="280"/>
      <c r="I120" s="280"/>
      <c r="J120" s="280"/>
      <c r="K120" s="280"/>
      <c r="L120" s="172"/>
      <c r="M120" s="211"/>
      <c r="N120" s="211"/>
      <c r="O120" s="211"/>
    </row>
    <row r="121" spans="1:15">
      <c r="A121" s="281"/>
      <c r="B121" s="281"/>
      <c r="C121" s="281"/>
      <c r="D121" s="281"/>
      <c r="E121" s="281"/>
      <c r="F121" s="281"/>
      <c r="G121" s="281"/>
      <c r="H121" s="281"/>
      <c r="I121" s="281"/>
      <c r="J121" s="281"/>
      <c r="K121" s="281"/>
      <c r="L121" s="172"/>
      <c r="M121" s="211"/>
      <c r="N121" s="211"/>
      <c r="O121" s="211"/>
    </row>
    <row r="122" spans="1:15">
      <c r="A122" s="281"/>
      <c r="B122" s="28" t="s">
        <v>183</v>
      </c>
      <c r="C122" s="101" t="s">
        <v>234</v>
      </c>
      <c r="D122" s="273"/>
      <c r="E122" s="273"/>
      <c r="F122" s="273"/>
      <c r="G122" s="273"/>
      <c r="H122" s="273"/>
      <c r="I122" s="273"/>
      <c r="J122" s="273"/>
      <c r="K122" s="273"/>
      <c r="L122" s="172"/>
      <c r="M122" s="211"/>
      <c r="N122" s="211"/>
      <c r="O122" s="211"/>
    </row>
    <row r="123" spans="1:15">
      <c r="A123" s="281"/>
      <c r="B123" s="30" t="s">
        <v>8</v>
      </c>
      <c r="C123" s="66">
        <v>312</v>
      </c>
      <c r="D123" s="66">
        <f>+C123+12</f>
        <v>324</v>
      </c>
      <c r="E123" s="66">
        <f>+D123+12</f>
        <v>336</v>
      </c>
      <c r="F123" s="66">
        <f>+E123+12</f>
        <v>348</v>
      </c>
      <c r="G123" s="66">
        <f>+F123+12</f>
        <v>360</v>
      </c>
      <c r="H123" s="66">
        <f t="shared" ref="H123:K123" si="33">+G123+12</f>
        <v>372</v>
      </c>
      <c r="I123" s="66">
        <f t="shared" si="33"/>
        <v>384</v>
      </c>
      <c r="J123" s="66">
        <f t="shared" si="33"/>
        <v>396</v>
      </c>
      <c r="K123" s="66">
        <f t="shared" si="33"/>
        <v>408</v>
      </c>
      <c r="L123" s="172"/>
      <c r="M123" s="211"/>
      <c r="N123" s="211"/>
      <c r="O123" s="211"/>
    </row>
    <row r="124" spans="1:15">
      <c r="A124" s="281"/>
      <c r="B124" s="28">
        <f t="shared" ref="B124:B126" si="34">B125-1</f>
        <v>1989</v>
      </c>
      <c r="C124" s="357"/>
      <c r="D124" s="357"/>
      <c r="E124" s="357"/>
      <c r="F124" s="357"/>
      <c r="G124" s="357"/>
      <c r="H124" s="357"/>
      <c r="I124" s="357"/>
      <c r="J124" s="358">
        <v>1.665105630138412E-3</v>
      </c>
      <c r="K124" s="358">
        <v>1.6982185261923007E-3</v>
      </c>
      <c r="L124" s="172"/>
      <c r="M124" s="211"/>
      <c r="N124" s="211"/>
      <c r="O124" s="211"/>
    </row>
    <row r="125" spans="1:15">
      <c r="A125" s="281"/>
      <c r="B125" s="28">
        <f t="shared" si="34"/>
        <v>1990</v>
      </c>
      <c r="C125" s="357"/>
      <c r="D125" s="357"/>
      <c r="E125" s="357"/>
      <c r="F125" s="357"/>
      <c r="G125" s="357"/>
      <c r="H125" s="357"/>
      <c r="I125" s="358">
        <v>1.5131167485017258E-3</v>
      </c>
      <c r="J125" s="358">
        <v>1.2927192975350282E-3</v>
      </c>
      <c r="K125" s="358">
        <v>1.2019674059606832E-3</v>
      </c>
      <c r="L125" s="172"/>
      <c r="M125" s="211"/>
      <c r="N125" s="211"/>
      <c r="O125" s="211"/>
    </row>
    <row r="126" spans="1:15">
      <c r="A126" s="281"/>
      <c r="B126" s="28">
        <f t="shared" si="34"/>
        <v>1991</v>
      </c>
      <c r="C126" s="357"/>
      <c r="D126" s="357"/>
      <c r="E126" s="357"/>
      <c r="F126" s="357"/>
      <c r="G126" s="357"/>
      <c r="H126" s="358">
        <v>2.1045282236207123E-3</v>
      </c>
      <c r="I126" s="358">
        <v>1.9234665638677478E-3</v>
      </c>
      <c r="J126" s="358">
        <v>1.7036059770250147E-3</v>
      </c>
      <c r="K126" s="355">
        <v>1.6607466964883161E-3</v>
      </c>
      <c r="L126" s="172"/>
      <c r="M126" s="211"/>
      <c r="N126" s="211"/>
      <c r="O126" s="211"/>
    </row>
    <row r="127" spans="1:15">
      <c r="A127" s="281"/>
      <c r="B127" s="28">
        <f t="shared" ref="B127:B132" si="35">B128-1</f>
        <v>1992</v>
      </c>
      <c r="C127" s="357"/>
      <c r="D127" s="357"/>
      <c r="E127" s="357"/>
      <c r="F127" s="357"/>
      <c r="G127" s="358">
        <v>2.4643294595345492E-3</v>
      </c>
      <c r="H127" s="358">
        <v>2.1469966551634768E-3</v>
      </c>
      <c r="I127" s="358">
        <v>1.9773877424825457E-3</v>
      </c>
      <c r="J127" s="355">
        <v>1.7169674845411553E-3</v>
      </c>
      <c r="K127" s="355">
        <v>1.6737720555013696E-3</v>
      </c>
      <c r="L127" s="172"/>
      <c r="M127" s="211"/>
      <c r="N127" s="211"/>
      <c r="O127" s="211"/>
    </row>
    <row r="128" spans="1:15">
      <c r="A128" s="281"/>
      <c r="B128" s="28">
        <f t="shared" si="35"/>
        <v>1993</v>
      </c>
      <c r="C128" s="357"/>
      <c r="D128" s="357"/>
      <c r="E128" s="357"/>
      <c r="F128" s="358">
        <v>3.0699003072985169E-3</v>
      </c>
      <c r="G128" s="358">
        <v>2.7768148744916079E-3</v>
      </c>
      <c r="H128" s="358">
        <v>2.658185056450716E-3</v>
      </c>
      <c r="I128" s="355">
        <v>2.3539295465216598E-3</v>
      </c>
      <c r="J128" s="355">
        <v>2.0439190581834363E-3</v>
      </c>
      <c r="K128" s="355">
        <v>1.9924981888683586E-3</v>
      </c>
      <c r="L128" s="172"/>
      <c r="M128" s="211"/>
      <c r="N128" s="211"/>
      <c r="O128" s="211"/>
    </row>
    <row r="129" spans="1:15">
      <c r="A129" s="281"/>
      <c r="B129" s="28">
        <f t="shared" si="35"/>
        <v>1994</v>
      </c>
      <c r="C129" s="357"/>
      <c r="D129" s="357"/>
      <c r="E129" s="358">
        <v>4.1478603346657124E-3</v>
      </c>
      <c r="F129" s="358">
        <v>3.7652993541249249E-3</v>
      </c>
      <c r="G129" s="358">
        <v>3.5051578873571895E-3</v>
      </c>
      <c r="H129" s="355">
        <v>3.1402789909660586E-3</v>
      </c>
      <c r="I129" s="355">
        <v>2.7808430730651358E-3</v>
      </c>
      <c r="J129" s="355">
        <v>2.4146084419790956E-3</v>
      </c>
      <c r="K129" s="355">
        <v>2.3538617775527458E-3</v>
      </c>
      <c r="L129" s="172"/>
      <c r="M129" s="211"/>
      <c r="N129" s="211"/>
      <c r="O129" s="211"/>
    </row>
    <row r="130" spans="1:15">
      <c r="A130" s="281"/>
      <c r="B130" s="28">
        <f t="shared" si="35"/>
        <v>1995</v>
      </c>
      <c r="C130" s="357"/>
      <c r="D130" s="358">
        <v>5.5890254397082118E-3</v>
      </c>
      <c r="E130" s="358">
        <v>5.0219037055989719E-3</v>
      </c>
      <c r="F130" s="358">
        <v>4.5780693049918345E-3</v>
      </c>
      <c r="G130" s="355">
        <v>4.1041548264706042E-3</v>
      </c>
      <c r="H130" s="355">
        <v>3.6769217226204341E-3</v>
      </c>
      <c r="I130" s="355">
        <v>3.2560617486429811E-3</v>
      </c>
      <c r="J130" s="355">
        <v>2.8272412283993718E-3</v>
      </c>
      <c r="K130" s="355">
        <v>2.7561135576896854E-3</v>
      </c>
      <c r="L130" s="172"/>
      <c r="M130" s="211"/>
      <c r="N130" s="211"/>
      <c r="O130" s="211"/>
    </row>
    <row r="131" spans="1:15">
      <c r="A131" s="281"/>
      <c r="B131" s="28">
        <f t="shared" si="35"/>
        <v>1996</v>
      </c>
      <c r="C131" s="358">
        <v>6.4644297597831251E-3</v>
      </c>
      <c r="D131" s="358">
        <v>5.8796378999354448E-3</v>
      </c>
      <c r="E131" s="358">
        <v>5.3894447232984439E-3</v>
      </c>
      <c r="F131" s="355">
        <v>4.8003448800091669E-3</v>
      </c>
      <c r="G131" s="355">
        <v>4.3034207862539592E-3</v>
      </c>
      <c r="H131" s="355">
        <v>3.8554445530411146E-3</v>
      </c>
      <c r="I131" s="355">
        <v>3.4141508795092184E-3</v>
      </c>
      <c r="J131" s="355">
        <v>2.964510157262016E-3</v>
      </c>
      <c r="K131" s="355">
        <v>2.8899290779529009E-3</v>
      </c>
      <c r="L131" s="172"/>
      <c r="M131" s="211"/>
      <c r="N131" s="211"/>
      <c r="O131" s="211"/>
    </row>
    <row r="132" spans="1:15">
      <c r="A132" s="281"/>
      <c r="B132" s="28">
        <f t="shared" si="35"/>
        <v>1997</v>
      </c>
      <c r="C132" s="358">
        <v>7.3054256316879935E-3</v>
      </c>
      <c r="D132" s="358">
        <v>6.466609099755269E-3</v>
      </c>
      <c r="E132" s="355">
        <v>5.7100897233308672E-3</v>
      </c>
      <c r="F132" s="355">
        <v>5.0859413863713577E-3</v>
      </c>
      <c r="G132" s="355">
        <v>4.5594527949287646E-3</v>
      </c>
      <c r="H132" s="355">
        <v>4.0848242168663477E-3</v>
      </c>
      <c r="I132" s="355">
        <v>3.6172757773560108E-3</v>
      </c>
      <c r="J132" s="355">
        <v>3.1408836814883932E-3</v>
      </c>
      <c r="K132" s="355">
        <v>3.0618654010564779E-3</v>
      </c>
      <c r="L132" s="172"/>
      <c r="M132" s="211"/>
      <c r="N132" s="211"/>
      <c r="O132" s="211"/>
    </row>
    <row r="133" spans="1:15">
      <c r="A133" s="281"/>
      <c r="B133" s="28">
        <f>$B$21</f>
        <v>1998</v>
      </c>
      <c r="C133" s="358">
        <v>7.9689206377965508E-3</v>
      </c>
      <c r="D133" s="355">
        <v>7.116196230836167E-3</v>
      </c>
      <c r="E133" s="355">
        <v>6.2836825823353488E-3</v>
      </c>
      <c r="F133" s="355">
        <v>5.5968369767888469E-3</v>
      </c>
      <c r="G133" s="355">
        <v>5.0174612835613384E-3</v>
      </c>
      <c r="H133" s="355">
        <v>4.4951550723535631E-3</v>
      </c>
      <c r="I133" s="355">
        <v>3.9806402174038932E-3</v>
      </c>
      <c r="J133" s="355">
        <v>3.4563933385966402E-3</v>
      </c>
      <c r="K133" s="355">
        <v>3.3694374733661239E-3</v>
      </c>
      <c r="L133" s="172"/>
      <c r="M133" s="211"/>
      <c r="N133" s="211"/>
      <c r="O133" s="211"/>
    </row>
    <row r="134" spans="1:15">
      <c r="A134" s="281"/>
      <c r="B134" s="28">
        <f>$B$22</f>
        <v>1999</v>
      </c>
      <c r="C134" s="355">
        <v>7.4539893923476399E-3</v>
      </c>
      <c r="D134" s="355">
        <v>6.6563658529775515E-3</v>
      </c>
      <c r="E134" s="355">
        <v>5.8776471046094406E-3</v>
      </c>
      <c r="F134" s="355">
        <v>5.2351837032748472E-3</v>
      </c>
      <c r="G134" s="355">
        <v>4.6932457837254261E-3</v>
      </c>
      <c r="H134" s="355">
        <v>4.2046896624065222E-3</v>
      </c>
      <c r="I134" s="355">
        <v>3.7234214398557995E-3</v>
      </c>
      <c r="J134" s="355">
        <v>3.2330500519081925E-3</v>
      </c>
      <c r="K134" s="355">
        <v>3.1517130520193463E-3</v>
      </c>
      <c r="L134" s="172"/>
      <c r="M134" s="211"/>
      <c r="N134" s="211"/>
      <c r="O134" s="211"/>
    </row>
    <row r="135" spans="1:15">
      <c r="A135" s="281"/>
      <c r="B135" s="28" t="s">
        <v>296</v>
      </c>
      <c r="C135" s="274"/>
      <c r="D135" s="274"/>
      <c r="E135" s="274"/>
      <c r="F135" s="274"/>
      <c r="G135" s="274"/>
      <c r="H135" s="274"/>
      <c r="I135" s="274"/>
      <c r="J135" s="274"/>
      <c r="K135" s="274"/>
      <c r="L135" s="172"/>
      <c r="M135" s="211"/>
      <c r="N135" s="211"/>
      <c r="O135" s="211"/>
    </row>
    <row r="136" spans="1:15">
      <c r="A136" s="281"/>
      <c r="B136" s="28">
        <v>2022</v>
      </c>
      <c r="C136" s="355">
        <v>4.132756732384839E-3</v>
      </c>
      <c r="D136" s="355">
        <v>3.6905258840790353E-3</v>
      </c>
      <c r="E136" s="355">
        <v>3.2587765240307751E-3</v>
      </c>
      <c r="F136" s="355">
        <v>2.9025719726931778E-3</v>
      </c>
      <c r="G136" s="355">
        <v>2.602102322461075E-3</v>
      </c>
      <c r="H136" s="355">
        <v>2.3312294390623752E-3</v>
      </c>
      <c r="I136" s="355">
        <v>2.0643972258489679E-3</v>
      </c>
      <c r="J136" s="355">
        <v>1.7925178940927564E-3</v>
      </c>
      <c r="K136" s="355">
        <v>1.7474217695627541E-3</v>
      </c>
      <c r="L136" s="172"/>
      <c r="M136" s="211"/>
      <c r="N136" s="211"/>
      <c r="O136" s="211"/>
    </row>
    <row r="137" spans="1:15">
      <c r="A137" s="281"/>
      <c r="B137" s="28">
        <f>B136+1</f>
        <v>2023</v>
      </c>
      <c r="C137" s="355">
        <v>4.1528837226875509E-3</v>
      </c>
      <c r="D137" s="355">
        <v>3.7084991603908743E-3</v>
      </c>
      <c r="E137" s="355">
        <v>3.2746471323789285E-3</v>
      </c>
      <c r="F137" s="355">
        <v>2.9167078247963351E-3</v>
      </c>
      <c r="G137" s="355">
        <v>2.614774853558887E-3</v>
      </c>
      <c r="H137" s="355">
        <v>2.3425827887395361E-3</v>
      </c>
      <c r="I137" s="355">
        <v>2.0744510726239344E-3</v>
      </c>
      <c r="J137" s="355">
        <v>1.8012476579303254E-3</v>
      </c>
      <c r="K137" s="355">
        <v>1.7559319101996659E-3</v>
      </c>
      <c r="L137" s="172"/>
      <c r="M137" s="211"/>
      <c r="N137" s="211"/>
      <c r="O137" s="211"/>
    </row>
    <row r="138" spans="1:15">
      <c r="A138" s="172"/>
      <c r="B138" s="167"/>
      <c r="C138" s="66"/>
      <c r="D138" s="66"/>
      <c r="E138" s="66"/>
      <c r="F138" s="66"/>
      <c r="G138" s="66"/>
      <c r="H138" s="66"/>
      <c r="I138" s="66"/>
      <c r="J138" s="66"/>
      <c r="K138" s="66"/>
      <c r="L138" s="172"/>
      <c r="M138" s="172"/>
      <c r="N138" s="172"/>
      <c r="O138" s="172"/>
    </row>
    <row r="139" spans="1:15">
      <c r="A139" s="172"/>
      <c r="B139" s="167" t="s">
        <v>283</v>
      </c>
      <c r="C139" s="359">
        <f>AVERAGE(C131:C133)</f>
        <v>7.2462586764225562E-3</v>
      </c>
      <c r="D139" s="359">
        <f>AVERAGE(D130:D132)</f>
        <v>5.9784241464663082E-3</v>
      </c>
      <c r="E139" s="359">
        <f>AVERAGE(E129:E131)</f>
        <v>4.8530695878543761E-3</v>
      </c>
      <c r="F139" s="359">
        <f>AVERAGE(F128:F130)</f>
        <v>3.8044229888050921E-3</v>
      </c>
      <c r="G139" s="359">
        <f>AVERAGE(G127:G129)</f>
        <v>2.915434073794449E-3</v>
      </c>
      <c r="H139" s="359">
        <f>AVERAGE(H126:H128)</f>
        <v>2.3032366450783017E-3</v>
      </c>
      <c r="I139" s="359">
        <f>AVERAGE(I125:I127)</f>
        <v>1.8046570182840063E-3</v>
      </c>
      <c r="J139" s="359">
        <f>AVERAGE(J124:J126)</f>
        <v>1.5538103015661515E-3</v>
      </c>
      <c r="K139" s="359">
        <f>AVERAGE(K124:K125)</f>
        <v>1.4500929660764919E-3</v>
      </c>
      <c r="L139" s="172"/>
      <c r="M139" s="172"/>
      <c r="N139" s="172"/>
      <c r="O139" s="172"/>
    </row>
    <row r="140" spans="1:15">
      <c r="A140" s="172"/>
      <c r="B140" s="172"/>
      <c r="C140" s="172"/>
      <c r="D140" s="172"/>
      <c r="E140" s="172"/>
      <c r="F140" s="172"/>
      <c r="G140" s="172"/>
      <c r="H140" s="172"/>
      <c r="I140" s="172"/>
      <c r="J140" s="172"/>
      <c r="K140" s="172"/>
      <c r="L140" s="172"/>
      <c r="M140" s="172"/>
      <c r="N140" s="172"/>
      <c r="O140" s="172"/>
    </row>
    <row r="141" spans="1:15">
      <c r="A141" s="172"/>
      <c r="B141" s="172"/>
      <c r="C141" s="172"/>
      <c r="D141" s="172"/>
      <c r="E141" s="172"/>
      <c r="F141" s="172"/>
      <c r="G141" s="172"/>
      <c r="H141" s="172"/>
      <c r="I141" s="172"/>
      <c r="J141" s="172"/>
      <c r="K141" s="172"/>
      <c r="L141" s="172"/>
      <c r="M141" s="172"/>
      <c r="N141" s="172"/>
      <c r="O141" s="172"/>
    </row>
    <row r="142" spans="1:15">
      <c r="A142" s="280" t="s">
        <v>301</v>
      </c>
      <c r="B142" s="280"/>
      <c r="C142" s="280"/>
      <c r="D142" s="280"/>
      <c r="E142" s="280"/>
      <c r="F142" s="280"/>
      <c r="G142" s="280"/>
      <c r="H142" s="280"/>
      <c r="I142" s="280"/>
      <c r="J142" s="280"/>
      <c r="K142" s="280"/>
      <c r="L142" s="172"/>
      <c r="M142" s="172"/>
      <c r="N142" s="172"/>
      <c r="O142" s="172"/>
    </row>
    <row r="143" spans="1:15">
      <c r="A143" s="281"/>
      <c r="B143" s="281"/>
      <c r="C143" s="281"/>
      <c r="D143" s="281"/>
      <c r="E143" s="281"/>
      <c r="F143" s="281"/>
      <c r="G143" s="281"/>
      <c r="H143" s="281"/>
      <c r="I143" s="281"/>
      <c r="J143" s="281"/>
      <c r="K143" s="281"/>
      <c r="L143" s="172"/>
      <c r="M143" s="172"/>
      <c r="N143" s="172"/>
      <c r="O143" s="172"/>
    </row>
    <row r="144" spans="1:15">
      <c r="A144" s="281"/>
      <c r="B144" s="28" t="s">
        <v>183</v>
      </c>
      <c r="C144" s="101" t="s">
        <v>234</v>
      </c>
      <c r="D144" s="273"/>
      <c r="E144" s="273"/>
      <c r="F144" s="273"/>
      <c r="G144" s="273"/>
      <c r="H144" s="273"/>
      <c r="I144" s="273"/>
      <c r="J144" s="273"/>
      <c r="K144" s="273"/>
      <c r="L144" s="172"/>
      <c r="M144" s="172"/>
      <c r="N144" s="172"/>
      <c r="O144" s="172"/>
    </row>
    <row r="145" spans="1:15">
      <c r="A145" s="281"/>
      <c r="B145" s="30" t="s">
        <v>8</v>
      </c>
      <c r="C145" s="66">
        <v>312</v>
      </c>
      <c r="D145" s="66">
        <f>+C145+12</f>
        <v>324</v>
      </c>
      <c r="E145" s="66">
        <f>+D145+12</f>
        <v>336</v>
      </c>
      <c r="F145" s="66">
        <f>+E145+12</f>
        <v>348</v>
      </c>
      <c r="G145" s="66">
        <f>+F145+12</f>
        <v>360</v>
      </c>
      <c r="H145" s="66">
        <f t="shared" ref="H145" si="36">+G145+12</f>
        <v>372</v>
      </c>
      <c r="I145" s="66">
        <f t="shared" ref="I145" si="37">+H145+12</f>
        <v>384</v>
      </c>
      <c r="J145" s="66">
        <f t="shared" ref="J145" si="38">+I145+12</f>
        <v>396</v>
      </c>
      <c r="K145" s="66">
        <f t="shared" ref="K145" si="39">+J145+12</f>
        <v>408</v>
      </c>
      <c r="L145" s="172"/>
      <c r="M145" s="172"/>
      <c r="N145" s="172"/>
      <c r="O145" s="172"/>
    </row>
    <row r="146" spans="1:15">
      <c r="A146" s="281"/>
      <c r="B146" s="28">
        <f t="shared" ref="B146:B154" si="40">B147-1</f>
        <v>1989</v>
      </c>
      <c r="C146" s="276"/>
      <c r="D146" s="276"/>
      <c r="E146" s="276"/>
      <c r="F146" s="276"/>
      <c r="G146" s="276"/>
      <c r="H146" s="276"/>
      <c r="I146" s="276"/>
      <c r="J146" s="276"/>
      <c r="K146" s="276"/>
      <c r="L146" s="172"/>
      <c r="M146" s="172"/>
      <c r="N146" s="172"/>
      <c r="O146" s="172"/>
    </row>
    <row r="147" spans="1:15">
      <c r="A147" s="281"/>
      <c r="B147" s="28">
        <f t="shared" si="40"/>
        <v>1990</v>
      </c>
      <c r="C147" s="276"/>
      <c r="D147" s="276"/>
      <c r="E147" s="276"/>
      <c r="F147" s="276"/>
      <c r="G147" s="276"/>
      <c r="H147" s="276"/>
      <c r="I147" s="276"/>
      <c r="J147" s="276"/>
      <c r="K147" s="276"/>
      <c r="L147" s="172"/>
      <c r="M147" s="172"/>
      <c r="N147" s="172"/>
      <c r="O147" s="172"/>
    </row>
    <row r="148" spans="1:15">
      <c r="A148" s="281"/>
      <c r="B148" s="28">
        <f t="shared" si="40"/>
        <v>1991</v>
      </c>
      <c r="C148" s="276"/>
      <c r="D148" s="276"/>
      <c r="E148" s="276"/>
      <c r="F148" s="276"/>
      <c r="G148" s="276"/>
      <c r="H148" s="276"/>
      <c r="I148" s="276"/>
      <c r="J148" s="276"/>
      <c r="K148" s="360">
        <f t="shared" ref="D148:K156" si="41">K126/K$139</f>
        <v>1.1452691209045645</v>
      </c>
      <c r="L148" s="172"/>
      <c r="M148" s="172"/>
      <c r="N148" s="172"/>
      <c r="O148" s="172"/>
    </row>
    <row r="149" spans="1:15">
      <c r="A149" s="281"/>
      <c r="B149" s="28">
        <f t="shared" si="40"/>
        <v>1992</v>
      </c>
      <c r="C149" s="276"/>
      <c r="D149" s="276"/>
      <c r="E149" s="276"/>
      <c r="F149" s="276"/>
      <c r="G149" s="276"/>
      <c r="H149" s="276"/>
      <c r="I149" s="276"/>
      <c r="J149" s="360">
        <f t="shared" si="41"/>
        <v>1.1050045702558098</v>
      </c>
      <c r="K149" s="360">
        <f t="shared" si="41"/>
        <v>1.1542515512161162</v>
      </c>
      <c r="L149" s="172"/>
      <c r="M149" s="172"/>
      <c r="N149" s="172"/>
      <c r="O149" s="172"/>
    </row>
    <row r="150" spans="1:15">
      <c r="A150" s="281"/>
      <c r="B150" s="28">
        <f t="shared" si="40"/>
        <v>1993</v>
      </c>
      <c r="C150" s="276"/>
      <c r="D150" s="276"/>
      <c r="E150" s="276"/>
      <c r="F150" s="276"/>
      <c r="G150" s="276"/>
      <c r="H150" s="276"/>
      <c r="I150" s="360">
        <f t="shared" si="41"/>
        <v>1.3043639443244124</v>
      </c>
      <c r="J150" s="360">
        <f t="shared" si="41"/>
        <v>1.3154238043880153</v>
      </c>
      <c r="K150" s="360">
        <f t="shared" si="41"/>
        <v>1.3740485854913491</v>
      </c>
      <c r="L150" s="172"/>
      <c r="M150" s="172"/>
      <c r="N150" s="172"/>
      <c r="O150" s="172"/>
    </row>
    <row r="151" spans="1:15">
      <c r="A151" s="281"/>
      <c r="B151" s="28">
        <f t="shared" si="40"/>
        <v>1994</v>
      </c>
      <c r="C151" s="276"/>
      <c r="D151" s="276"/>
      <c r="E151" s="276"/>
      <c r="F151" s="276"/>
      <c r="G151" s="276"/>
      <c r="H151" s="360">
        <f t="shared" si="41"/>
        <v>1.3634200366151696</v>
      </c>
      <c r="I151" s="360">
        <f t="shared" si="41"/>
        <v>1.5409260845084876</v>
      </c>
      <c r="J151" s="360">
        <f t="shared" si="41"/>
        <v>1.5539917836465038</v>
      </c>
      <c r="K151" s="360">
        <f t="shared" si="41"/>
        <v>1.6232488761886599</v>
      </c>
      <c r="L151" s="172"/>
      <c r="M151" s="172"/>
      <c r="N151" s="172"/>
      <c r="O151" s="172"/>
    </row>
    <row r="152" spans="1:15">
      <c r="A152" s="281"/>
      <c r="B152" s="28">
        <f t="shared" si="40"/>
        <v>1995</v>
      </c>
      <c r="C152" s="276"/>
      <c r="D152" s="276"/>
      <c r="E152" s="276"/>
      <c r="F152" s="276"/>
      <c r="G152" s="360">
        <f t="shared" si="41"/>
        <v>1.4077337105170862</v>
      </c>
      <c r="H152" s="360">
        <f t="shared" si="41"/>
        <v>1.5964150841718794</v>
      </c>
      <c r="I152" s="360">
        <f t="shared" si="41"/>
        <v>1.8042551663024986</v>
      </c>
      <c r="J152" s="360">
        <f t="shared" si="41"/>
        <v>1.819553664658855</v>
      </c>
      <c r="K152" s="360">
        <f t="shared" si="41"/>
        <v>1.9006461117778441</v>
      </c>
      <c r="L152" s="172"/>
      <c r="M152" s="172"/>
      <c r="N152" s="172"/>
      <c r="O152" s="172"/>
    </row>
    <row r="153" spans="1:15">
      <c r="A153" s="281"/>
      <c r="B153" s="28">
        <f t="shared" si="40"/>
        <v>1996</v>
      </c>
      <c r="C153" s="276"/>
      <c r="D153" s="276"/>
      <c r="E153" s="276"/>
      <c r="F153" s="360">
        <f t="shared" si="41"/>
        <v>1.2617800108281014</v>
      </c>
      <c r="G153" s="360">
        <f t="shared" si="41"/>
        <v>1.4760823525167353</v>
      </c>
      <c r="H153" s="360">
        <f t="shared" si="41"/>
        <v>1.6739246317913823</v>
      </c>
      <c r="I153" s="360">
        <f t="shared" si="41"/>
        <v>1.891855817985642</v>
      </c>
      <c r="J153" s="360">
        <f t="shared" si="41"/>
        <v>1.9078970928909147</v>
      </c>
      <c r="K153" s="360">
        <f t="shared" si="41"/>
        <v>1.9929267609456554</v>
      </c>
      <c r="L153" s="172"/>
      <c r="M153" s="172"/>
      <c r="N153" s="172"/>
      <c r="O153" s="172"/>
    </row>
    <row r="154" spans="1:15">
      <c r="A154" s="281"/>
      <c r="B154" s="28">
        <f t="shared" si="40"/>
        <v>1997</v>
      </c>
      <c r="C154" s="276"/>
      <c r="D154" s="276"/>
      <c r="E154" s="360">
        <f t="shared" si="41"/>
        <v>1.1765934157674822</v>
      </c>
      <c r="F154" s="360">
        <f t="shared" si="41"/>
        <v>1.3368496093460864</v>
      </c>
      <c r="G154" s="360">
        <f t="shared" si="41"/>
        <v>1.5639018683055381</v>
      </c>
      <c r="H154" s="360">
        <f t="shared" si="41"/>
        <v>1.7735147734797692</v>
      </c>
      <c r="I154" s="360">
        <f t="shared" si="41"/>
        <v>2.0044117750394301</v>
      </c>
      <c r="J154" s="360">
        <f t="shared" si="41"/>
        <v>2.0214074255541767</v>
      </c>
      <c r="K154" s="360">
        <f t="shared" si="41"/>
        <v>2.1114959334924226</v>
      </c>
      <c r="L154" s="172"/>
      <c r="M154" s="172"/>
      <c r="N154" s="172"/>
      <c r="O154" s="172"/>
    </row>
    <row r="155" spans="1:15">
      <c r="A155" s="281"/>
      <c r="B155" s="28">
        <f>$B$21</f>
        <v>1998</v>
      </c>
      <c r="C155" s="276"/>
      <c r="D155" s="360">
        <f t="shared" si="41"/>
        <v>1.1903130417808121</v>
      </c>
      <c r="E155" s="360">
        <f t="shared" si="41"/>
        <v>1.2947851805095321</v>
      </c>
      <c r="F155" s="360">
        <f t="shared" si="41"/>
        <v>1.4711395113682464</v>
      </c>
      <c r="G155" s="360">
        <f t="shared" si="41"/>
        <v>1.7209997401968664</v>
      </c>
      <c r="H155" s="360">
        <f t="shared" si="41"/>
        <v>1.9516687883370942</v>
      </c>
      <c r="I155" s="360">
        <f t="shared" si="41"/>
        <v>2.2057599738198248</v>
      </c>
      <c r="J155" s="360">
        <f t="shared" si="41"/>
        <v>2.2244628801294435</v>
      </c>
      <c r="K155" s="360">
        <f t="shared" si="41"/>
        <v>2.3236010050326574</v>
      </c>
      <c r="L155" s="172"/>
      <c r="M155" s="172"/>
      <c r="N155" s="172"/>
      <c r="O155" s="172"/>
    </row>
    <row r="156" spans="1:15">
      <c r="A156" s="281"/>
      <c r="B156" s="28">
        <f>$B$22</f>
        <v>1999</v>
      </c>
      <c r="C156" s="360">
        <f>C134/C$139</f>
        <v>1.0286673061508258</v>
      </c>
      <c r="D156" s="360">
        <f t="shared" si="41"/>
        <v>1.1133980610780112</v>
      </c>
      <c r="E156" s="360">
        <f t="shared" si="41"/>
        <v>1.2111194777258587</v>
      </c>
      <c r="F156" s="360">
        <f t="shared" si="41"/>
        <v>1.3760782433183472</v>
      </c>
      <c r="G156" s="360">
        <f t="shared" si="41"/>
        <v>1.6097931439818662</v>
      </c>
      <c r="H156" s="360">
        <f t="shared" si="41"/>
        <v>1.825556948909858</v>
      </c>
      <c r="I156" s="360">
        <f t="shared" si="41"/>
        <v>2.0632294126427904</v>
      </c>
      <c r="J156" s="360">
        <f t="shared" si="41"/>
        <v>2.0807237850395661</v>
      </c>
      <c r="K156" s="360">
        <f t="shared" si="41"/>
        <v>2.1734558581764025</v>
      </c>
      <c r="L156" s="172"/>
      <c r="M156" s="172"/>
      <c r="N156" s="172"/>
      <c r="O156" s="172"/>
    </row>
    <row r="157" spans="1:15">
      <c r="A157" s="281"/>
      <c r="B157" s="28" t="s">
        <v>296</v>
      </c>
      <c r="C157" s="276"/>
      <c r="D157" s="276"/>
      <c r="E157" s="276"/>
      <c r="F157" s="276"/>
      <c r="G157" s="276"/>
      <c r="H157" s="276"/>
      <c r="I157" s="276"/>
      <c r="J157" s="276"/>
      <c r="K157" s="276"/>
      <c r="L157" s="172"/>
      <c r="M157" s="172"/>
      <c r="N157" s="172"/>
      <c r="O157" s="172"/>
    </row>
    <row r="158" spans="1:15">
      <c r="A158" s="281"/>
      <c r="B158" s="28">
        <v>2022</v>
      </c>
      <c r="C158" s="360">
        <f>C136/C$139</f>
        <v>0.57032972695713391</v>
      </c>
      <c r="D158" s="360">
        <f t="shared" ref="D158:K158" si="42">D136/D$139</f>
        <v>0.6173074699392832</v>
      </c>
      <c r="E158" s="360">
        <f t="shared" si="42"/>
        <v>0.67148769763912142</v>
      </c>
      <c r="F158" s="360">
        <f t="shared" si="42"/>
        <v>0.76294670209761006</v>
      </c>
      <c r="G158" s="360">
        <f t="shared" si="42"/>
        <v>0.89252655234094469</v>
      </c>
      <c r="H158" s="360">
        <f t="shared" si="42"/>
        <v>1.0121536768893853</v>
      </c>
      <c r="I158" s="360">
        <f t="shared" si="42"/>
        <v>1.1439277408024826</v>
      </c>
      <c r="J158" s="360">
        <f t="shared" si="42"/>
        <v>1.1536272428403913</v>
      </c>
      <c r="K158" s="360">
        <f t="shared" si="42"/>
        <v>1.2050412011105351</v>
      </c>
      <c r="L158" s="172"/>
      <c r="M158" s="172"/>
      <c r="N158" s="172"/>
      <c r="O158" s="172"/>
    </row>
    <row r="159" spans="1:15">
      <c r="A159" s="172"/>
      <c r="B159" s="28">
        <f>B158+1</f>
        <v>2023</v>
      </c>
      <c r="C159" s="360">
        <f>C137/C$139</f>
        <v>0.57310729690066897</v>
      </c>
      <c r="D159" s="360">
        <f t="shared" ref="D159:K159" si="43">D137/D$139</f>
        <v>0.6203138267770566</v>
      </c>
      <c r="E159" s="360">
        <f t="shared" si="43"/>
        <v>0.67475791828212894</v>
      </c>
      <c r="F159" s="360">
        <f t="shared" si="43"/>
        <v>0.76666233838325792</v>
      </c>
      <c r="G159" s="360">
        <f t="shared" si="43"/>
        <v>0.89687325707754628</v>
      </c>
      <c r="H159" s="360">
        <f t="shared" si="43"/>
        <v>1.0170829791829301</v>
      </c>
      <c r="I159" s="360">
        <f t="shared" si="43"/>
        <v>1.1494987976144448</v>
      </c>
      <c r="J159" s="360">
        <f t="shared" si="43"/>
        <v>1.1592455373186619</v>
      </c>
      <c r="K159" s="360">
        <f t="shared" si="43"/>
        <v>1.2109098873506579</v>
      </c>
      <c r="L159" s="172"/>
      <c r="M159" s="172"/>
      <c r="N159" s="172"/>
      <c r="O159" s="172"/>
    </row>
    <row r="160" spans="1:15">
      <c r="A160" s="172"/>
      <c r="B160" s="172"/>
      <c r="C160" s="172"/>
      <c r="D160" s="172"/>
      <c r="E160" s="172"/>
      <c r="F160" s="172"/>
      <c r="G160" s="172"/>
      <c r="H160" s="172"/>
      <c r="I160" s="172"/>
      <c r="J160" s="172"/>
      <c r="K160" s="172"/>
      <c r="L160" s="172"/>
      <c r="M160" s="172"/>
      <c r="N160" s="172"/>
      <c r="O160" s="172"/>
    </row>
    <row r="161" spans="1:15">
      <c r="A161" s="172"/>
      <c r="B161" s="172"/>
      <c r="C161" s="172"/>
      <c r="D161" s="172"/>
      <c r="E161" s="172"/>
      <c r="F161" s="172"/>
      <c r="G161" s="172"/>
      <c r="H161" s="172"/>
      <c r="I161" s="172"/>
      <c r="J161" s="172"/>
      <c r="K161" s="172"/>
      <c r="L161" s="172"/>
      <c r="M161" s="172"/>
      <c r="N161" s="172"/>
      <c r="O161" s="172"/>
    </row>
    <row r="162" spans="1:15">
      <c r="A162" s="172"/>
      <c r="B162" s="172"/>
      <c r="C162" s="172"/>
      <c r="D162" s="172"/>
      <c r="E162" s="172"/>
      <c r="F162" s="172"/>
      <c r="G162" s="172"/>
      <c r="H162" s="172"/>
      <c r="I162" s="172"/>
      <c r="J162" s="172"/>
      <c r="K162" s="172"/>
      <c r="L162" s="172"/>
      <c r="M162" s="172"/>
      <c r="N162" s="172"/>
      <c r="O162" s="172"/>
    </row>
    <row r="163" spans="1:15">
      <c r="A163" s="172"/>
      <c r="B163" s="172"/>
      <c r="C163" s="172"/>
      <c r="D163" s="172"/>
      <c r="E163" s="172"/>
      <c r="F163" s="172"/>
      <c r="G163" s="172"/>
      <c r="H163" s="172"/>
      <c r="I163" s="172"/>
      <c r="J163" s="172"/>
      <c r="K163" s="172"/>
      <c r="L163" s="172"/>
      <c r="M163" s="172"/>
      <c r="N163" s="172"/>
      <c r="O163" s="172"/>
    </row>
    <row r="164" spans="1:15">
      <c r="A164" s="172"/>
      <c r="B164" s="172"/>
      <c r="C164" s="172"/>
      <c r="D164" s="172"/>
      <c r="E164" s="172"/>
      <c r="F164" s="172"/>
      <c r="G164" s="172"/>
      <c r="H164" s="172"/>
      <c r="I164" s="172"/>
      <c r="J164" s="172"/>
      <c r="K164" s="172"/>
      <c r="L164" s="172"/>
      <c r="M164" s="172"/>
      <c r="N164" s="172"/>
      <c r="O164" s="172"/>
    </row>
    <row r="165" spans="1:15">
      <c r="A165" s="275"/>
      <c r="B165" s="211"/>
      <c r="C165" s="172"/>
      <c r="D165" s="172"/>
      <c r="E165" s="172"/>
      <c r="F165" s="172"/>
      <c r="G165" s="172"/>
      <c r="H165" s="172"/>
      <c r="I165" s="172"/>
      <c r="J165" s="172"/>
      <c r="K165" s="172"/>
      <c r="L165" s="172"/>
      <c r="M165" s="172"/>
      <c r="N165" s="172"/>
      <c r="O165" s="172"/>
    </row>
    <row r="166" spans="1:15">
      <c r="A166" s="275" t="s">
        <v>362</v>
      </c>
      <c r="B166" s="211" t="s">
        <v>297</v>
      </c>
      <c r="C166" s="172"/>
      <c r="D166" s="172"/>
      <c r="E166" s="172"/>
      <c r="F166" s="172"/>
      <c r="G166" s="172"/>
      <c r="H166" s="172"/>
      <c r="I166" s="172"/>
      <c r="J166" s="172"/>
      <c r="K166" s="172"/>
      <c r="L166" s="172"/>
      <c r="M166" s="172"/>
      <c r="N166" s="172"/>
      <c r="O166" s="172"/>
    </row>
    <row r="167" spans="1:15">
      <c r="A167" s="275"/>
      <c r="B167" s="211" t="s">
        <v>298</v>
      </c>
      <c r="C167" s="172"/>
      <c r="D167" s="172"/>
      <c r="E167" s="172"/>
      <c r="F167" s="172"/>
      <c r="G167" s="172"/>
      <c r="H167" s="172"/>
      <c r="I167" s="172"/>
      <c r="J167" s="172"/>
      <c r="K167" s="172"/>
      <c r="L167" s="172"/>
      <c r="M167" s="172"/>
      <c r="N167" s="172"/>
      <c r="O167" s="172"/>
    </row>
    <row r="168" spans="1:15">
      <c r="A168" s="275" t="s">
        <v>363</v>
      </c>
      <c r="B168" s="211" t="s">
        <v>299</v>
      </c>
      <c r="C168" s="172"/>
      <c r="D168" s="172"/>
      <c r="E168" s="172"/>
      <c r="F168" s="172"/>
      <c r="G168" s="172"/>
      <c r="H168" s="172"/>
      <c r="I168" s="172"/>
      <c r="J168" s="172"/>
      <c r="K168" s="172"/>
      <c r="L168" s="172"/>
      <c r="M168" s="172"/>
      <c r="N168" s="172"/>
      <c r="O168" s="172"/>
    </row>
    <row r="169" spans="1:15">
      <c r="A169" s="172"/>
      <c r="B169" s="211"/>
      <c r="C169" s="172"/>
      <c r="D169" s="172"/>
      <c r="E169" s="172"/>
      <c r="F169" s="172"/>
      <c r="G169" s="172"/>
      <c r="H169" s="172"/>
      <c r="I169" s="172"/>
      <c r="J169" s="172"/>
      <c r="K169" s="172"/>
      <c r="L169" s="172"/>
      <c r="M169" s="172"/>
      <c r="N169" s="172"/>
      <c r="O169" s="172"/>
    </row>
    <row r="170" spans="1:15">
      <c r="A170" s="172"/>
      <c r="B170" s="211" t="s">
        <v>225</v>
      </c>
      <c r="C170" s="172"/>
      <c r="D170" s="172"/>
      <c r="E170" s="172"/>
      <c r="F170" s="172"/>
      <c r="G170" s="172"/>
      <c r="H170" s="172"/>
      <c r="I170" s="172"/>
      <c r="J170" s="172"/>
      <c r="K170" s="172"/>
      <c r="L170" s="172"/>
      <c r="M170" s="172"/>
      <c r="N170" s="172"/>
      <c r="O170" s="172"/>
    </row>
    <row r="171" spans="1:15">
      <c r="A171" s="211"/>
      <c r="B171" s="211"/>
      <c r="C171" s="211"/>
      <c r="D171" s="211"/>
      <c r="E171" s="211"/>
      <c r="F171" s="211"/>
      <c r="G171" s="211"/>
      <c r="H171" s="211"/>
      <c r="I171" s="211"/>
      <c r="J171" s="211"/>
      <c r="K171" s="211"/>
      <c r="L171" s="211"/>
      <c r="M171" s="42" t="s">
        <v>275</v>
      </c>
      <c r="N171" s="172"/>
      <c r="O171" s="172"/>
    </row>
    <row r="172" spans="1:15">
      <c r="A172" s="99" t="str">
        <f>A2</f>
        <v>Paid Loss Development Factors</v>
      </c>
      <c r="B172" s="99"/>
      <c r="C172" s="99"/>
      <c r="D172" s="99"/>
      <c r="E172" s="99"/>
      <c r="F172" s="99"/>
      <c r="G172" s="99"/>
      <c r="H172" s="99"/>
      <c r="I172" s="99"/>
      <c r="J172" s="99"/>
      <c r="K172" s="99"/>
      <c r="L172" s="99"/>
      <c r="M172" s="99"/>
      <c r="N172" s="172"/>
      <c r="O172" s="172"/>
    </row>
    <row r="173" spans="1:15">
      <c r="A173" s="99" t="str">
        <f t="shared" ref="A173:A174" si="44">A3</f>
        <v>Adjusted for the Impact of Claim Settlement Rate</v>
      </c>
      <c r="B173" s="99"/>
      <c r="C173" s="99"/>
      <c r="D173" s="99"/>
      <c r="E173" s="99"/>
      <c r="F173" s="99"/>
      <c r="G173" s="99"/>
      <c r="H173" s="99"/>
      <c r="I173" s="99"/>
      <c r="J173" s="99"/>
      <c r="K173" s="99"/>
      <c r="L173" s="99"/>
      <c r="M173" s="99"/>
      <c r="N173" s="172"/>
      <c r="O173" s="172"/>
    </row>
    <row r="174" spans="1:15">
      <c r="A174" s="99" t="str">
        <f t="shared" si="44"/>
        <v>Changes on Later-Period Development</v>
      </c>
      <c r="B174" s="99"/>
      <c r="C174" s="99"/>
      <c r="D174" s="99"/>
      <c r="E174" s="99"/>
      <c r="F174" s="99"/>
      <c r="G174" s="99"/>
      <c r="H174" s="99"/>
      <c r="I174" s="99"/>
      <c r="J174" s="99"/>
      <c r="K174" s="99"/>
      <c r="L174" s="99"/>
      <c r="M174" s="99"/>
      <c r="N174" s="172"/>
      <c r="O174" s="172"/>
    </row>
    <row r="175" spans="1:15">
      <c r="A175" s="99"/>
      <c r="B175" s="99"/>
      <c r="C175" s="99"/>
      <c r="D175" s="99"/>
      <c r="E175" s="99"/>
      <c r="F175" s="99"/>
      <c r="G175" s="99"/>
      <c r="H175" s="99"/>
      <c r="I175" s="99"/>
      <c r="J175" s="99"/>
      <c r="K175" s="99"/>
      <c r="L175" s="99"/>
      <c r="M175" s="99"/>
      <c r="N175" s="172"/>
      <c r="O175" s="172"/>
    </row>
    <row r="176" spans="1:15">
      <c r="A176" s="99"/>
      <c r="B176" s="99"/>
      <c r="C176" s="99"/>
      <c r="D176" s="99"/>
      <c r="E176" s="99"/>
      <c r="F176" s="99"/>
      <c r="G176" s="99"/>
      <c r="H176" s="99"/>
      <c r="I176" s="99"/>
      <c r="J176" s="99"/>
      <c r="K176" s="99"/>
      <c r="L176" s="99"/>
      <c r="M176" s="99"/>
      <c r="N176" s="172"/>
      <c r="O176" s="172"/>
    </row>
    <row r="177" spans="1:15">
      <c r="A177" s="211"/>
      <c r="B177" s="211"/>
      <c r="C177" s="211"/>
      <c r="D177" s="211"/>
      <c r="E177" s="211"/>
      <c r="F177" s="211"/>
      <c r="G177" s="211"/>
      <c r="H177" s="211"/>
      <c r="I177" s="211"/>
      <c r="J177" s="211"/>
      <c r="K177" s="211"/>
      <c r="L177" s="172"/>
      <c r="M177" s="211"/>
      <c r="N177" s="172"/>
      <c r="O177" s="172"/>
    </row>
    <row r="178" spans="1:15">
      <c r="A178" s="172"/>
      <c r="B178" s="172"/>
      <c r="C178" s="101" t="s">
        <v>303</v>
      </c>
      <c r="D178" s="273"/>
      <c r="E178" s="273"/>
      <c r="F178" s="273"/>
      <c r="G178" s="273"/>
      <c r="H178" s="273"/>
      <c r="I178" s="273"/>
      <c r="J178" s="273"/>
      <c r="K178" s="273"/>
      <c r="L178" s="172"/>
      <c r="M178" s="172"/>
      <c r="N178" s="172"/>
      <c r="O178" s="172"/>
    </row>
    <row r="179" spans="1:15">
      <c r="A179" s="172"/>
      <c r="B179" s="167" t="s">
        <v>250</v>
      </c>
      <c r="C179" s="66" t="str">
        <f t="shared" ref="C179:K179" si="45">C$11&amp;"-"&amp;C$11+12</f>
        <v>312-324</v>
      </c>
      <c r="D179" s="66" t="str">
        <f t="shared" si="45"/>
        <v>324-336</v>
      </c>
      <c r="E179" s="66" t="str">
        <f t="shared" si="45"/>
        <v>336-348</v>
      </c>
      <c r="F179" s="66" t="str">
        <f t="shared" si="45"/>
        <v>348-360</v>
      </c>
      <c r="G179" s="66" t="str">
        <f t="shared" si="45"/>
        <v>360-372</v>
      </c>
      <c r="H179" s="66" t="str">
        <f t="shared" si="45"/>
        <v>372-384</v>
      </c>
      <c r="I179" s="66" t="str">
        <f t="shared" si="45"/>
        <v>384-396</v>
      </c>
      <c r="J179" s="66" t="str">
        <f t="shared" si="45"/>
        <v>396-408</v>
      </c>
      <c r="K179" s="66" t="str">
        <f t="shared" si="45"/>
        <v>408-420</v>
      </c>
      <c r="L179" s="172"/>
      <c r="M179" s="172"/>
      <c r="N179" s="172"/>
      <c r="O179" s="172"/>
    </row>
    <row r="180" spans="1:15">
      <c r="A180" s="172"/>
      <c r="B180" s="172"/>
      <c r="C180" s="172"/>
      <c r="D180" s="172"/>
      <c r="E180" s="172"/>
      <c r="F180" s="172"/>
      <c r="G180" s="172"/>
      <c r="H180" s="172"/>
      <c r="I180" s="172"/>
      <c r="J180" s="172"/>
      <c r="K180" s="172"/>
      <c r="L180" s="172"/>
      <c r="M180" s="172"/>
      <c r="N180" s="172"/>
      <c r="O180" s="172"/>
    </row>
    <row r="181" spans="1:15">
      <c r="A181" s="172"/>
      <c r="B181" s="172"/>
      <c r="C181" s="172"/>
      <c r="D181" s="172"/>
      <c r="E181" s="172"/>
      <c r="F181" s="172"/>
      <c r="G181" s="172"/>
      <c r="H181" s="172"/>
      <c r="I181" s="172"/>
      <c r="J181" s="172"/>
      <c r="K181" s="172"/>
      <c r="L181" s="172"/>
      <c r="M181" s="172"/>
      <c r="N181" s="172"/>
      <c r="O181" s="172"/>
    </row>
    <row r="182" spans="1:15">
      <c r="A182" s="172"/>
      <c r="B182" s="172"/>
      <c r="C182" s="172"/>
      <c r="D182" s="172"/>
      <c r="E182" s="172"/>
      <c r="F182" s="172"/>
      <c r="G182" s="172"/>
      <c r="H182" s="172"/>
      <c r="I182" s="172"/>
      <c r="J182" s="172"/>
      <c r="K182" s="172"/>
      <c r="L182" s="172"/>
      <c r="M182" s="172"/>
      <c r="N182" s="172"/>
      <c r="O182" s="172"/>
    </row>
    <row r="183" spans="1:15">
      <c r="A183" s="172"/>
      <c r="B183" s="172"/>
      <c r="C183" s="172"/>
      <c r="D183" s="172"/>
      <c r="E183" s="172"/>
      <c r="F183" s="172"/>
      <c r="G183" s="172"/>
      <c r="H183" s="172"/>
      <c r="I183" s="172"/>
      <c r="J183" s="172"/>
      <c r="K183" s="172"/>
      <c r="L183" s="172"/>
      <c r="M183" s="172"/>
      <c r="N183" s="172"/>
      <c r="O183" s="172"/>
    </row>
    <row r="184" spans="1:15">
      <c r="A184" s="103" t="s">
        <v>308</v>
      </c>
      <c r="B184" s="167"/>
      <c r="C184" s="172"/>
      <c r="D184" s="172"/>
      <c r="E184" s="172"/>
      <c r="F184" s="172"/>
      <c r="G184" s="172"/>
      <c r="H184" s="172"/>
      <c r="I184" s="172"/>
      <c r="J184" s="172"/>
      <c r="K184" s="172"/>
      <c r="L184" s="172"/>
      <c r="M184" s="172"/>
      <c r="N184" s="172"/>
      <c r="O184" s="172"/>
    </row>
    <row r="185" spans="1:15">
      <c r="A185" s="172"/>
      <c r="B185" s="167"/>
      <c r="C185" s="172"/>
      <c r="D185" s="172"/>
      <c r="E185" s="172"/>
      <c r="F185" s="172"/>
      <c r="G185" s="172"/>
      <c r="H185" s="172"/>
      <c r="I185" s="172"/>
      <c r="J185" s="172"/>
      <c r="K185" s="172"/>
      <c r="L185" s="172"/>
      <c r="M185" s="172"/>
      <c r="N185" s="172"/>
      <c r="O185" s="172"/>
    </row>
    <row r="186" spans="1:15">
      <c r="A186" s="172"/>
      <c r="B186" s="167"/>
      <c r="C186" s="172"/>
      <c r="D186" s="172"/>
      <c r="E186" s="172"/>
      <c r="F186" s="172"/>
      <c r="G186" s="172"/>
      <c r="H186" s="172"/>
      <c r="I186" s="172"/>
      <c r="J186" s="172"/>
      <c r="K186" s="172"/>
      <c r="L186" s="172"/>
      <c r="M186" s="172"/>
      <c r="N186" s="172"/>
      <c r="O186" s="172"/>
    </row>
    <row r="187" spans="1:15">
      <c r="A187" s="172"/>
      <c r="B187" s="167" t="s">
        <v>3</v>
      </c>
      <c r="C187" s="361">
        <f ca="1">'Exhibit 2.3.2'!K$31</f>
        <v>1.002</v>
      </c>
      <c r="D187" s="361">
        <f ca="1">'Exhibit 2.3.2'!L$31</f>
        <v>1.0016666666666667</v>
      </c>
      <c r="E187" s="361">
        <f ca="1">'Exhibit 2.3.2'!M$31</f>
        <v>1.0009999999999999</v>
      </c>
      <c r="F187" s="361">
        <f ca="1">'Exhibit 2.3.2'!N$31</f>
        <v>1.0009999999999999</v>
      </c>
      <c r="G187" s="361">
        <f ca="1">'Exhibit 2.3.2'!O$31</f>
        <v>1.0009999999999999</v>
      </c>
      <c r="H187" s="361">
        <f ca="1">'Exhibit 2.3.2'!P$31</f>
        <v>1.0009999999999999</v>
      </c>
      <c r="I187" s="361">
        <f ca="1">'Exhibit 2.3.2'!Q$31</f>
        <v>1</v>
      </c>
      <c r="J187" s="361">
        <f ca="1">'Exhibit 2.3.2'!R$31</f>
        <v>1.0003333333333333</v>
      </c>
      <c r="K187" s="361">
        <f ca="1">'Exhibit 2.3.2'!S$31</f>
        <v>1.0003333333333333</v>
      </c>
      <c r="L187" s="172"/>
      <c r="M187" s="172"/>
      <c r="N187" s="172"/>
      <c r="O187" s="172"/>
    </row>
    <row r="188" spans="1:15">
      <c r="A188" s="172"/>
      <c r="B188" s="167" t="s">
        <v>5</v>
      </c>
      <c r="C188" s="361">
        <f ca="1">'Exhibit 2.4.2'!K$57</f>
        <v>1.0053333333333334</v>
      </c>
      <c r="D188" s="361">
        <f ca="1">'Exhibit 2.4.2'!L$57</f>
        <v>1.004</v>
      </c>
      <c r="E188" s="361">
        <f ca="1">'Exhibit 2.4.2'!M$57</f>
        <v>1.004</v>
      </c>
      <c r="F188" s="361">
        <f ca="1">'Exhibit 2.4.2'!N$57</f>
        <v>1.0026666666666666</v>
      </c>
      <c r="G188" s="361">
        <f ca="1">'Exhibit 2.4.2'!O$57</f>
        <v>1.002</v>
      </c>
      <c r="H188" s="361">
        <f ca="1">'Exhibit 2.4.2'!P$57</f>
        <v>1.0029999999999999</v>
      </c>
      <c r="I188" s="361">
        <f ca="1">'Exhibit 2.4.2'!Q$57</f>
        <v>1.0016666666666667</v>
      </c>
      <c r="J188" s="361">
        <f ca="1">'Exhibit 2.4.2'!R$57</f>
        <v>1.0026666666666666</v>
      </c>
      <c r="K188" s="361">
        <f ca="1">'Exhibit 2.4.2'!S$57</f>
        <v>1.0026666666666666</v>
      </c>
      <c r="L188" s="172"/>
      <c r="M188" s="172"/>
      <c r="N188" s="172"/>
      <c r="O188" s="172"/>
    </row>
    <row r="189" spans="1:15">
      <c r="A189" s="172"/>
      <c r="B189" s="172"/>
      <c r="C189" s="172"/>
      <c r="D189" s="172"/>
      <c r="E189" s="172"/>
      <c r="F189" s="172"/>
      <c r="G189" s="172"/>
      <c r="H189" s="172"/>
      <c r="I189" s="172"/>
      <c r="J189" s="172"/>
      <c r="K189" s="172"/>
      <c r="L189" s="172"/>
      <c r="M189" s="172"/>
      <c r="N189" s="172"/>
      <c r="O189" s="172"/>
    </row>
    <row r="190" spans="1:15">
      <c r="A190" s="172"/>
      <c r="B190" s="172"/>
      <c r="C190" s="172"/>
      <c r="D190" s="172"/>
      <c r="E190" s="172"/>
      <c r="F190" s="172"/>
      <c r="G190" s="172"/>
      <c r="H190" s="172"/>
      <c r="I190" s="172"/>
      <c r="J190" s="172"/>
      <c r="K190" s="172"/>
      <c r="L190" s="172"/>
      <c r="M190" s="172"/>
      <c r="N190" s="172"/>
      <c r="O190" s="172"/>
    </row>
    <row r="191" spans="1:15">
      <c r="A191" s="172"/>
      <c r="B191" s="172"/>
      <c r="C191" s="172"/>
      <c r="D191" s="172"/>
      <c r="E191" s="172"/>
      <c r="F191" s="172"/>
      <c r="G191" s="172"/>
      <c r="H191" s="172"/>
      <c r="I191" s="172"/>
      <c r="J191" s="172"/>
      <c r="K191" s="172"/>
      <c r="L191" s="172"/>
      <c r="M191" s="172"/>
      <c r="N191" s="172"/>
      <c r="O191" s="172"/>
    </row>
    <row r="192" spans="1:15">
      <c r="A192" s="172"/>
      <c r="B192" s="172"/>
      <c r="C192" s="172"/>
      <c r="D192" s="172"/>
      <c r="E192" s="172"/>
      <c r="F192" s="172"/>
      <c r="G192" s="172"/>
      <c r="H192" s="172"/>
      <c r="I192" s="172"/>
      <c r="J192" s="172"/>
      <c r="K192" s="172"/>
      <c r="L192" s="172"/>
      <c r="M192" s="172"/>
      <c r="N192" s="172"/>
      <c r="O192" s="172"/>
    </row>
    <row r="193" spans="1:15">
      <c r="A193" s="103" t="s">
        <v>302</v>
      </c>
      <c r="B193" s="167"/>
      <c r="C193" s="167"/>
      <c r="D193" s="172"/>
      <c r="E193" s="172"/>
      <c r="F193" s="172"/>
      <c r="G193" s="172"/>
      <c r="H193" s="172"/>
      <c r="I193" s="172"/>
      <c r="J193" s="172"/>
      <c r="K193" s="172"/>
      <c r="L193" s="172"/>
      <c r="M193" s="172"/>
      <c r="N193" s="172"/>
      <c r="O193" s="172"/>
    </row>
    <row r="194" spans="1:15">
      <c r="A194" s="172"/>
      <c r="B194" s="167"/>
      <c r="C194" s="167"/>
      <c r="D194" s="172"/>
      <c r="E194" s="172"/>
      <c r="F194" s="172"/>
      <c r="G194" s="172"/>
      <c r="H194" s="172"/>
      <c r="I194" s="172"/>
      <c r="J194" s="172"/>
      <c r="K194" s="172"/>
      <c r="L194" s="172"/>
      <c r="M194" s="172"/>
      <c r="N194" s="172"/>
      <c r="O194" s="172"/>
    </row>
    <row r="195" spans="1:15">
      <c r="A195" s="172"/>
      <c r="B195" s="167"/>
      <c r="C195" s="172"/>
      <c r="D195" s="172"/>
      <c r="E195" s="172"/>
      <c r="F195" s="172"/>
      <c r="G195" s="172"/>
      <c r="H195" s="172"/>
      <c r="I195" s="172"/>
      <c r="J195" s="172"/>
      <c r="K195" s="172"/>
      <c r="L195" s="172"/>
      <c r="M195" s="172"/>
      <c r="N195" s="172"/>
      <c r="O195" s="172"/>
    </row>
    <row r="196" spans="1:15">
      <c r="A196" s="172"/>
      <c r="B196" s="167" t="s">
        <v>420</v>
      </c>
      <c r="C196" s="360">
        <f>(C158-1)*0.4+1</f>
        <v>0.82813189078285354</v>
      </c>
      <c r="D196" s="360">
        <f t="shared" ref="D196:K196" si="46">(D158-1)*0.4+1</f>
        <v>0.8469229879757133</v>
      </c>
      <c r="E196" s="360">
        <f t="shared" si="46"/>
        <v>0.86859507905564859</v>
      </c>
      <c r="F196" s="360">
        <f t="shared" si="46"/>
        <v>0.90517868083904407</v>
      </c>
      <c r="G196" s="360">
        <f t="shared" si="46"/>
        <v>0.9570106209363779</v>
      </c>
      <c r="H196" s="360">
        <f t="shared" si="46"/>
        <v>1.0048614707557542</v>
      </c>
      <c r="I196" s="360">
        <f t="shared" si="46"/>
        <v>1.057571096320993</v>
      </c>
      <c r="J196" s="360">
        <f t="shared" si="46"/>
        <v>1.0614508971361565</v>
      </c>
      <c r="K196" s="360">
        <f t="shared" si="46"/>
        <v>1.0820164804442141</v>
      </c>
      <c r="L196" s="172"/>
      <c r="M196" s="172"/>
      <c r="N196" s="172"/>
      <c r="O196" s="172"/>
    </row>
    <row r="197" spans="1:15">
      <c r="A197" s="172"/>
      <c r="B197" s="167" t="s">
        <v>421</v>
      </c>
      <c r="C197" s="360">
        <f t="shared" ref="C197:K197" si="47">(C159-1)*0.4+1</f>
        <v>0.82924291876026757</v>
      </c>
      <c r="D197" s="360">
        <f t="shared" si="47"/>
        <v>0.84812553071082264</v>
      </c>
      <c r="E197" s="360">
        <f t="shared" si="47"/>
        <v>0.86990316731285156</v>
      </c>
      <c r="F197" s="360">
        <f t="shared" si="47"/>
        <v>0.90666493535330317</v>
      </c>
      <c r="G197" s="360">
        <f t="shared" si="47"/>
        <v>0.95874930283101856</v>
      </c>
      <c r="H197" s="360">
        <f t="shared" si="47"/>
        <v>1.0068331916731721</v>
      </c>
      <c r="I197" s="360">
        <f t="shared" si="47"/>
        <v>1.0597995190457778</v>
      </c>
      <c r="J197" s="360">
        <f t="shared" si="47"/>
        <v>1.0636982149274647</v>
      </c>
      <c r="K197" s="360">
        <f t="shared" si="47"/>
        <v>1.0843639549402631</v>
      </c>
      <c r="L197" s="172"/>
      <c r="M197" s="172"/>
      <c r="N197" s="172"/>
      <c r="O197" s="172"/>
    </row>
    <row r="198" spans="1:15">
      <c r="A198" s="172"/>
      <c r="B198" s="172"/>
      <c r="C198" s="172"/>
      <c r="D198" s="172"/>
      <c r="E198" s="172"/>
      <c r="F198" s="172"/>
      <c r="G198" s="172"/>
      <c r="H198" s="172"/>
      <c r="I198" s="172"/>
      <c r="J198" s="172"/>
      <c r="K198" s="172"/>
      <c r="L198" s="172"/>
      <c r="M198" s="172"/>
      <c r="N198" s="172"/>
      <c r="O198" s="172"/>
    </row>
    <row r="199" spans="1:15">
      <c r="A199" s="172"/>
      <c r="B199" s="172"/>
      <c r="C199" s="172"/>
      <c r="D199" s="172"/>
      <c r="E199" s="172"/>
      <c r="F199" s="172"/>
      <c r="G199" s="172"/>
      <c r="H199" s="172"/>
      <c r="I199" s="172"/>
      <c r="J199" s="172"/>
      <c r="K199" s="172"/>
      <c r="L199" s="172"/>
      <c r="M199" s="172"/>
      <c r="N199" s="172"/>
      <c r="O199" s="172"/>
    </row>
    <row r="200" spans="1:15">
      <c r="A200" s="172"/>
      <c r="B200" s="172"/>
      <c r="C200" s="172"/>
      <c r="D200" s="172"/>
      <c r="E200" s="172"/>
      <c r="F200" s="172"/>
      <c r="G200" s="172"/>
      <c r="H200" s="172"/>
      <c r="I200" s="172"/>
      <c r="J200" s="172"/>
      <c r="K200" s="172"/>
      <c r="L200" s="172"/>
      <c r="M200" s="172"/>
      <c r="N200" s="172"/>
      <c r="O200" s="172"/>
    </row>
    <row r="201" spans="1:15">
      <c r="A201" s="172"/>
      <c r="B201" s="172"/>
      <c r="C201" s="172"/>
      <c r="D201" s="172"/>
      <c r="E201" s="172"/>
      <c r="F201" s="172"/>
      <c r="G201" s="172"/>
      <c r="H201" s="172"/>
      <c r="I201" s="172"/>
      <c r="J201" s="172"/>
      <c r="K201" s="172"/>
      <c r="L201" s="172"/>
      <c r="M201" s="172"/>
      <c r="N201" s="172"/>
      <c r="O201" s="172"/>
    </row>
    <row r="202" spans="1:15">
      <c r="A202" s="103" t="s">
        <v>307</v>
      </c>
      <c r="B202" s="167"/>
      <c r="C202" s="167"/>
      <c r="D202" s="172"/>
      <c r="E202" s="172"/>
      <c r="F202" s="172"/>
      <c r="G202" s="172"/>
      <c r="H202" s="172"/>
      <c r="I202" s="172"/>
      <c r="J202" s="172"/>
      <c r="K202" s="172"/>
      <c r="L202" s="172"/>
      <c r="M202" s="172"/>
      <c r="N202" s="172"/>
      <c r="O202" s="172"/>
    </row>
    <row r="203" spans="1:15">
      <c r="A203" s="103"/>
      <c r="B203" s="167"/>
      <c r="C203" s="167"/>
      <c r="D203" s="172"/>
      <c r="E203" s="172"/>
      <c r="F203" s="172"/>
      <c r="G203" s="172"/>
      <c r="H203" s="172"/>
      <c r="I203" s="172"/>
      <c r="J203" s="172"/>
      <c r="K203" s="172"/>
      <c r="L203" s="172"/>
      <c r="M203" s="172"/>
      <c r="N203" s="172"/>
      <c r="O203" s="172"/>
    </row>
    <row r="204" spans="1:15">
      <c r="A204" s="172"/>
      <c r="B204" s="167"/>
      <c r="C204" s="167"/>
      <c r="D204" s="172"/>
      <c r="E204" s="172"/>
      <c r="F204" s="172"/>
      <c r="G204" s="172"/>
      <c r="H204" s="172"/>
      <c r="I204" s="172"/>
      <c r="J204" s="172"/>
      <c r="K204" s="172"/>
      <c r="L204" s="172"/>
      <c r="M204" s="172"/>
      <c r="N204" s="172"/>
      <c r="O204" s="172"/>
    </row>
    <row r="205" spans="1:15">
      <c r="A205" s="172"/>
      <c r="B205" s="167" t="s">
        <v>3</v>
      </c>
      <c r="C205" s="172"/>
      <c r="D205" s="172"/>
      <c r="E205" s="172"/>
      <c r="F205" s="172"/>
      <c r="G205" s="172"/>
      <c r="H205" s="172"/>
      <c r="I205" s="172"/>
      <c r="J205" s="172"/>
      <c r="K205" s="172"/>
      <c r="L205" s="172"/>
      <c r="M205" s="172"/>
      <c r="N205" s="172"/>
      <c r="O205" s="172"/>
    </row>
    <row r="206" spans="1:15">
      <c r="A206" s="172"/>
      <c r="B206" s="167" t="str">
        <f>$B$196</f>
        <v>Accident Year 2022</v>
      </c>
      <c r="C206" s="362">
        <f ca="1">(C$187-1)*C196+1</f>
        <v>1.0016562637815658</v>
      </c>
      <c r="D206" s="362">
        <f t="shared" ref="D206:K206" ca="1" si="48">(D$187-1)*D196+1</f>
        <v>1.0014115383132929</v>
      </c>
      <c r="E206" s="362">
        <f t="shared" ca="1" si="48"/>
        <v>1.0008685950790555</v>
      </c>
      <c r="F206" s="362">
        <f t="shared" ca="1" si="48"/>
        <v>1.0009051786808389</v>
      </c>
      <c r="G206" s="362">
        <f t="shared" ca="1" si="48"/>
        <v>1.0009570106209362</v>
      </c>
      <c r="H206" s="362">
        <f t="shared" ca="1" si="48"/>
        <v>1.0010048614707556</v>
      </c>
      <c r="I206" s="362">
        <f t="shared" ca="1" si="48"/>
        <v>1</v>
      </c>
      <c r="J206" s="362">
        <f t="shared" ca="1" si="48"/>
        <v>1.000353816965712</v>
      </c>
      <c r="K206" s="362">
        <f t="shared" ca="1" si="48"/>
        <v>1.0003606721601481</v>
      </c>
      <c r="L206" s="169"/>
      <c r="M206" s="172"/>
      <c r="N206" s="172"/>
      <c r="O206" s="172"/>
    </row>
    <row r="207" spans="1:15">
      <c r="A207" s="172"/>
      <c r="B207" s="167" t="str">
        <f>$B$197</f>
        <v>Accident Year 2023</v>
      </c>
      <c r="C207" s="362">
        <f ca="1">(C$187-1)*C197+1</f>
        <v>1.0016584858375206</v>
      </c>
      <c r="D207" s="362">
        <f t="shared" ref="D207:K207" ca="1" si="49">(D$187-1)*D197+1</f>
        <v>1.0014135425511848</v>
      </c>
      <c r="E207" s="362">
        <f t="shared" ca="1" si="49"/>
        <v>1.0008699031673127</v>
      </c>
      <c r="F207" s="362">
        <f t="shared" ca="1" si="49"/>
        <v>1.0009066649353533</v>
      </c>
      <c r="G207" s="362">
        <f t="shared" ca="1" si="49"/>
        <v>1.0009587493028309</v>
      </c>
      <c r="H207" s="362">
        <f t="shared" ca="1" si="49"/>
        <v>1.0010068331916731</v>
      </c>
      <c r="I207" s="362">
        <f t="shared" ca="1" si="49"/>
        <v>1</v>
      </c>
      <c r="J207" s="362">
        <f t="shared" ca="1" si="49"/>
        <v>1.0003545660716424</v>
      </c>
      <c r="K207" s="362">
        <f t="shared" ca="1" si="49"/>
        <v>1.0003614546516466</v>
      </c>
      <c r="L207" s="169"/>
      <c r="M207" s="172"/>
      <c r="N207" s="172"/>
      <c r="O207" s="172"/>
    </row>
    <row r="208" spans="1:15">
      <c r="A208" s="172"/>
      <c r="B208" s="172"/>
      <c r="C208" s="172"/>
      <c r="D208" s="172"/>
      <c r="E208" s="172"/>
      <c r="F208" s="172"/>
      <c r="G208" s="172"/>
      <c r="H208" s="172"/>
      <c r="I208" s="172"/>
      <c r="J208" s="172"/>
      <c r="K208" s="172"/>
      <c r="L208" s="172"/>
      <c r="M208" s="172"/>
      <c r="N208" s="172"/>
      <c r="O208" s="172"/>
    </row>
    <row r="209" spans="1:15">
      <c r="A209" s="172"/>
      <c r="B209" s="172"/>
      <c r="C209" s="172"/>
      <c r="D209" s="172"/>
      <c r="E209" s="172"/>
      <c r="F209" s="172"/>
      <c r="G209" s="172"/>
      <c r="H209" s="172"/>
      <c r="I209" s="172"/>
      <c r="J209" s="172"/>
      <c r="K209" s="172"/>
      <c r="L209" s="172"/>
      <c r="M209" s="172"/>
      <c r="N209" s="172"/>
      <c r="O209" s="172"/>
    </row>
    <row r="210" spans="1:15">
      <c r="A210" s="172"/>
      <c r="B210" s="167" t="s">
        <v>5</v>
      </c>
      <c r="C210" s="172"/>
      <c r="D210" s="172"/>
      <c r="E210" s="172"/>
      <c r="F210" s="172"/>
      <c r="G210" s="172"/>
      <c r="H210" s="172"/>
      <c r="I210" s="172"/>
      <c r="J210" s="172"/>
      <c r="K210" s="172"/>
      <c r="L210" s="172"/>
      <c r="M210" s="172"/>
      <c r="N210" s="172"/>
      <c r="O210" s="172"/>
    </row>
    <row r="211" spans="1:15">
      <c r="A211" s="172"/>
      <c r="B211" s="167" t="str">
        <f>$B$196</f>
        <v>Accident Year 2022</v>
      </c>
      <c r="C211" s="362">
        <f ca="1">(C$188-1)*C196+1</f>
        <v>1.0044167034175087</v>
      </c>
      <c r="D211" s="362">
        <f t="shared" ref="D211:K212" ca="1" si="50">(D$188-1)*D196+1</f>
        <v>1.0033876919519029</v>
      </c>
      <c r="E211" s="362">
        <f t="shared" ca="1" si="50"/>
        <v>1.0034743803162225</v>
      </c>
      <c r="F211" s="362">
        <f t="shared" ca="1" si="50"/>
        <v>1.0024138098155708</v>
      </c>
      <c r="G211" s="362">
        <f t="shared" ca="1" si="50"/>
        <v>1.0019140212418727</v>
      </c>
      <c r="H211" s="362">
        <f t="shared" ca="1" si="50"/>
        <v>1.0030145844122671</v>
      </c>
      <c r="I211" s="362">
        <f t="shared" ca="1" si="50"/>
        <v>1.0017626184938684</v>
      </c>
      <c r="J211" s="362">
        <f t="shared" ca="1" si="50"/>
        <v>1.0028305357256964</v>
      </c>
      <c r="K211" s="362">
        <f t="shared" ca="1" si="50"/>
        <v>1.0028853772811845</v>
      </c>
      <c r="L211" s="169"/>
      <c r="M211" s="172"/>
      <c r="N211" s="172"/>
      <c r="O211" s="172"/>
    </row>
    <row r="212" spans="1:15">
      <c r="A212" s="172"/>
      <c r="B212" s="167" t="str">
        <f>$B$197</f>
        <v>Accident Year 2023</v>
      </c>
      <c r="C212" s="362">
        <f ca="1">(C$188-1)*C197+1</f>
        <v>1.0044226289000548</v>
      </c>
      <c r="D212" s="362">
        <f t="shared" ca="1" si="50"/>
        <v>1.0033925021228434</v>
      </c>
      <c r="E212" s="362">
        <f t="shared" ca="1" si="50"/>
        <v>1.0034796126692513</v>
      </c>
      <c r="F212" s="362">
        <f t="shared" ca="1" si="50"/>
        <v>1.002417773160942</v>
      </c>
      <c r="G212" s="362">
        <f t="shared" ca="1" si="50"/>
        <v>1.001917498605662</v>
      </c>
      <c r="H212" s="362">
        <f t="shared" ca="1" si="50"/>
        <v>1.0030204995750194</v>
      </c>
      <c r="I212" s="362">
        <f t="shared" ca="1" si="50"/>
        <v>1.001766332531743</v>
      </c>
      <c r="J212" s="362">
        <f t="shared" ca="1" si="50"/>
        <v>1.0028365285731398</v>
      </c>
      <c r="K212" s="362">
        <f t="shared" ca="1" si="50"/>
        <v>1.002891637213174</v>
      </c>
      <c r="L212" s="169"/>
      <c r="M212" s="172"/>
      <c r="N212" s="172"/>
      <c r="O212" s="172"/>
    </row>
    <row r="213" spans="1:15">
      <c r="A213" s="172"/>
      <c r="B213" s="172"/>
      <c r="C213" s="172"/>
      <c r="D213" s="172"/>
      <c r="E213" s="172"/>
      <c r="F213" s="172"/>
      <c r="G213" s="172"/>
      <c r="H213" s="172"/>
      <c r="I213" s="172"/>
      <c r="J213" s="172"/>
      <c r="K213" s="172"/>
      <c r="L213" s="172"/>
      <c r="M213" s="172"/>
      <c r="N213" s="172"/>
      <c r="O213" s="172"/>
    </row>
    <row r="214" spans="1:15">
      <c r="A214" s="172"/>
      <c r="B214" s="172"/>
      <c r="C214" s="172"/>
      <c r="D214" s="172"/>
      <c r="E214" s="172"/>
      <c r="F214" s="172"/>
      <c r="G214" s="172"/>
      <c r="H214" s="172"/>
      <c r="I214" s="172"/>
      <c r="J214" s="172"/>
      <c r="K214" s="172"/>
      <c r="L214" s="172"/>
      <c r="M214" s="172"/>
      <c r="N214" s="172"/>
      <c r="O214" s="172"/>
    </row>
    <row r="215" spans="1:15">
      <c r="A215" s="172"/>
      <c r="B215" s="172"/>
      <c r="C215" s="172"/>
      <c r="D215" s="172"/>
      <c r="E215" s="172"/>
      <c r="F215" s="172"/>
      <c r="G215" s="172"/>
      <c r="H215" s="172"/>
      <c r="I215" s="172"/>
      <c r="J215" s="172"/>
      <c r="K215" s="172"/>
      <c r="L215" s="172"/>
      <c r="M215" s="172"/>
      <c r="N215" s="172"/>
      <c r="O215" s="172"/>
    </row>
    <row r="216" spans="1:15">
      <c r="A216" s="172"/>
      <c r="B216" s="172"/>
      <c r="C216" s="172"/>
      <c r="D216" s="172"/>
      <c r="E216" s="172"/>
      <c r="F216" s="172"/>
      <c r="G216" s="172"/>
      <c r="H216" s="172"/>
      <c r="I216" s="172"/>
      <c r="J216" s="172"/>
      <c r="K216" s="172"/>
      <c r="L216" s="172"/>
      <c r="M216" s="172"/>
      <c r="N216" s="172"/>
      <c r="O216" s="172"/>
    </row>
    <row r="217" spans="1:15">
      <c r="A217" s="172"/>
      <c r="B217" s="172"/>
      <c r="C217" s="172"/>
      <c r="D217" s="172"/>
      <c r="E217" s="172"/>
      <c r="F217" s="172"/>
      <c r="G217" s="172"/>
      <c r="H217" s="172"/>
      <c r="I217" s="172"/>
      <c r="J217" s="172"/>
      <c r="K217" s="172"/>
      <c r="L217" s="172"/>
      <c r="M217" s="172"/>
      <c r="N217" s="172"/>
      <c r="O217" s="172"/>
    </row>
    <row r="218" spans="1:15">
      <c r="A218" s="172"/>
      <c r="B218" s="172"/>
      <c r="C218" s="172"/>
      <c r="D218" s="172"/>
      <c r="E218" s="172"/>
      <c r="F218" s="172"/>
      <c r="G218" s="172"/>
      <c r="H218" s="172"/>
      <c r="I218" s="172"/>
      <c r="J218" s="172"/>
      <c r="K218" s="172"/>
      <c r="L218" s="172"/>
      <c r="M218" s="172"/>
      <c r="N218" s="172"/>
      <c r="O218" s="172"/>
    </row>
    <row r="219" spans="1:15">
      <c r="A219" s="172"/>
      <c r="B219" s="172"/>
      <c r="C219" s="172"/>
      <c r="D219" s="172"/>
      <c r="E219" s="172"/>
      <c r="F219" s="172"/>
      <c r="G219" s="172"/>
      <c r="H219" s="172"/>
      <c r="I219" s="172"/>
      <c r="J219" s="172"/>
      <c r="K219" s="172"/>
      <c r="L219" s="172"/>
      <c r="M219" s="172"/>
      <c r="N219" s="172"/>
      <c r="O219" s="172"/>
    </row>
    <row r="220" spans="1:15">
      <c r="A220" s="275" t="s">
        <v>359</v>
      </c>
      <c r="B220" s="211" t="s">
        <v>304</v>
      </c>
      <c r="C220" s="172"/>
      <c r="D220" s="172"/>
      <c r="E220" s="172"/>
      <c r="F220" s="172"/>
      <c r="G220" s="172"/>
      <c r="H220" s="172"/>
      <c r="I220" s="172"/>
      <c r="J220" s="172"/>
      <c r="K220" s="172"/>
      <c r="L220" s="172"/>
      <c r="M220" s="172"/>
      <c r="N220" s="172"/>
      <c r="O220" s="172"/>
    </row>
    <row r="221" spans="1:15">
      <c r="A221" s="275"/>
      <c r="B221" s="211" t="s">
        <v>365</v>
      </c>
      <c r="C221" s="172"/>
      <c r="D221" s="172"/>
      <c r="E221" s="172"/>
      <c r="F221" s="172"/>
      <c r="G221" s="172"/>
      <c r="H221" s="172"/>
      <c r="I221" s="172"/>
      <c r="J221" s="172"/>
      <c r="K221" s="172"/>
      <c r="L221" s="172"/>
      <c r="M221" s="172"/>
      <c r="N221" s="172"/>
      <c r="O221" s="172"/>
    </row>
    <row r="222" spans="1:15">
      <c r="A222" s="275" t="s">
        <v>360</v>
      </c>
      <c r="B222" s="211" t="s">
        <v>305</v>
      </c>
      <c r="C222" s="172"/>
      <c r="D222" s="172"/>
      <c r="E222" s="172"/>
      <c r="F222" s="172"/>
      <c r="G222" s="172"/>
      <c r="H222" s="172"/>
      <c r="I222" s="172"/>
      <c r="J222" s="172"/>
      <c r="K222" s="172"/>
      <c r="L222" s="172"/>
      <c r="M222" s="172"/>
      <c r="N222" s="172"/>
      <c r="O222" s="172"/>
    </row>
    <row r="223" spans="1:15">
      <c r="A223" s="275"/>
      <c r="B223" s="211" t="s">
        <v>408</v>
      </c>
      <c r="C223" s="172"/>
      <c r="D223" s="172"/>
      <c r="E223" s="172"/>
      <c r="F223" s="172"/>
      <c r="G223" s="172"/>
      <c r="H223" s="172"/>
      <c r="I223" s="172"/>
      <c r="J223" s="172"/>
      <c r="K223" s="172"/>
      <c r="L223" s="172"/>
      <c r="M223" s="172"/>
      <c r="N223" s="172"/>
      <c r="O223" s="172"/>
    </row>
    <row r="224" spans="1:15">
      <c r="A224" s="275" t="s">
        <v>361</v>
      </c>
      <c r="B224" s="211" t="s">
        <v>306</v>
      </c>
      <c r="C224" s="172"/>
      <c r="D224" s="172"/>
      <c r="E224" s="172"/>
      <c r="F224" s="172"/>
      <c r="G224" s="172"/>
      <c r="H224" s="172"/>
      <c r="I224" s="172"/>
      <c r="J224" s="172"/>
      <c r="K224" s="172"/>
      <c r="L224" s="172"/>
      <c r="M224" s="172"/>
      <c r="N224" s="172"/>
      <c r="O224" s="172"/>
    </row>
    <row r="225" spans="1:15">
      <c r="A225" s="172"/>
      <c r="B225" s="172"/>
      <c r="C225" s="172"/>
      <c r="D225" s="172"/>
      <c r="E225" s="172"/>
      <c r="F225" s="172"/>
      <c r="G225" s="172"/>
      <c r="H225" s="172"/>
      <c r="I225" s="172"/>
      <c r="J225" s="172"/>
      <c r="K225" s="172"/>
      <c r="L225" s="172"/>
      <c r="M225" s="172"/>
      <c r="N225" s="172"/>
      <c r="O225" s="172"/>
    </row>
    <row r="226" spans="1:15">
      <c r="A226" s="172"/>
      <c r="B226" s="211" t="s">
        <v>225</v>
      </c>
      <c r="C226" s="172"/>
      <c r="D226" s="172"/>
      <c r="E226" s="172"/>
      <c r="F226" s="172"/>
      <c r="G226" s="172"/>
      <c r="H226" s="172"/>
      <c r="I226" s="172"/>
      <c r="J226" s="172"/>
      <c r="K226" s="172"/>
      <c r="L226" s="172"/>
      <c r="M226" s="172"/>
      <c r="N226" s="172"/>
      <c r="O226" s="172"/>
    </row>
    <row r="227" spans="1:15">
      <c r="A227" s="172"/>
      <c r="B227" s="172"/>
      <c r="C227" s="172"/>
      <c r="D227" s="172"/>
      <c r="E227" s="172"/>
      <c r="F227" s="172"/>
      <c r="G227" s="172"/>
      <c r="H227" s="172"/>
      <c r="I227" s="172"/>
      <c r="J227" s="172"/>
      <c r="K227" s="172"/>
      <c r="L227" s="172"/>
      <c r="M227" s="172"/>
      <c r="N227" s="172"/>
      <c r="O227" s="172"/>
    </row>
    <row r="228" spans="1:15">
      <c r="A228" s="172"/>
      <c r="B228" s="172"/>
      <c r="C228" s="172"/>
      <c r="D228" s="172"/>
      <c r="E228" s="172"/>
      <c r="F228" s="172"/>
      <c r="G228" s="172"/>
      <c r="H228" s="172"/>
      <c r="I228" s="172"/>
      <c r="J228" s="172"/>
      <c r="K228" s="172"/>
      <c r="L228" s="172"/>
      <c r="M228" s="172"/>
      <c r="N228" s="172"/>
      <c r="O228" s="172"/>
    </row>
    <row r="229" spans="1:15">
      <c r="A229" s="172"/>
      <c r="B229" s="172"/>
      <c r="C229" s="172"/>
      <c r="D229" s="172"/>
      <c r="E229" s="172"/>
      <c r="F229" s="172"/>
      <c r="G229" s="172"/>
      <c r="H229" s="172"/>
      <c r="I229" s="172"/>
      <c r="J229" s="172"/>
      <c r="K229" s="172"/>
      <c r="L229" s="172"/>
      <c r="M229" s="172"/>
      <c r="N229" s="172"/>
      <c r="O229" s="172"/>
    </row>
    <row r="230" spans="1:15">
      <c r="A230" s="172"/>
      <c r="B230" s="172"/>
      <c r="C230" s="172"/>
      <c r="D230" s="172"/>
      <c r="E230" s="172"/>
      <c r="F230" s="172"/>
      <c r="G230" s="172"/>
      <c r="H230" s="172"/>
      <c r="I230" s="172"/>
      <c r="J230" s="172"/>
      <c r="K230" s="172"/>
      <c r="L230" s="172"/>
      <c r="M230" s="172"/>
      <c r="N230" s="172"/>
      <c r="O230" s="172"/>
    </row>
    <row r="231" spans="1:15">
      <c r="A231" s="172"/>
      <c r="B231" s="172"/>
      <c r="C231" s="172"/>
      <c r="D231" s="172"/>
      <c r="E231" s="172"/>
      <c r="F231" s="172"/>
      <c r="G231" s="172"/>
      <c r="H231" s="172"/>
      <c r="I231" s="172"/>
      <c r="J231" s="172"/>
      <c r="K231" s="172"/>
      <c r="L231" s="172"/>
      <c r="M231" s="172"/>
      <c r="N231" s="172"/>
      <c r="O231" s="172"/>
    </row>
  </sheetData>
  <printOptions horizontalCentered="1"/>
  <pageMargins left="0.25" right="0.25" top="0.33" bottom="0.5" header="0.2" footer="0.3"/>
  <pageSetup scale="86" fitToHeight="0" orientation="portrait" blackAndWhite="1" r:id="rId1"/>
  <headerFooter scaleWithDoc="0"/>
  <rowBreaks count="3" manualBreakCount="3">
    <brk id="55" max="12" man="1"/>
    <brk id="112" max="12" man="1"/>
    <brk id="170"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W60"/>
  <sheetViews>
    <sheetView zoomScaleNormal="100" zoomScaleSheetLayoutView="100" workbookViewId="0"/>
  </sheetViews>
  <sheetFormatPr defaultColWidth="9.140625" defaultRowHeight="12.75"/>
  <cols>
    <col min="1" max="1" width="20.140625" style="60" customWidth="1"/>
    <col min="2" max="2" width="8" style="73" customWidth="1"/>
    <col min="3" max="6" width="8" style="60" customWidth="1"/>
    <col min="7" max="20" width="7.85546875" style="60" customWidth="1"/>
    <col min="21" max="21" width="7.85546875" style="141" customWidth="1"/>
    <col min="22" max="22" width="7.85546875" style="109" customWidth="1"/>
    <col min="23" max="16384" width="9.140625" style="60"/>
  </cols>
  <sheetData>
    <row r="1" spans="1:23" ht="12.6" customHeight="1">
      <c r="A1" s="189" t="str">
        <f>"Selected Medical Development Factors - Paid to Ultimate"</f>
        <v>Selected Medical Development Factors - Paid to Ultimate</v>
      </c>
      <c r="B1" s="189"/>
      <c r="C1" s="189"/>
      <c r="D1" s="189"/>
      <c r="E1" s="189"/>
      <c r="F1" s="189"/>
      <c r="G1" s="189"/>
      <c r="H1" s="189"/>
      <c r="I1" s="189"/>
      <c r="J1" s="189"/>
      <c r="K1" s="189"/>
      <c r="L1" s="189"/>
      <c r="M1" s="189"/>
      <c r="N1" s="189"/>
      <c r="O1" s="189"/>
      <c r="P1" s="189"/>
      <c r="Q1" s="189"/>
      <c r="R1" s="189"/>
      <c r="S1" s="189"/>
      <c r="T1" s="189"/>
      <c r="U1" s="189"/>
      <c r="V1" s="189"/>
      <c r="W1" s="283"/>
    </row>
    <row r="2" spans="1:23" ht="12" customHeight="1">
      <c r="A2" s="283"/>
      <c r="B2" s="283"/>
      <c r="C2" s="283"/>
      <c r="D2" s="283"/>
      <c r="E2" s="283"/>
      <c r="F2" s="283"/>
      <c r="G2" s="283"/>
      <c r="H2" s="283"/>
      <c r="I2" s="283"/>
      <c r="J2" s="283"/>
      <c r="K2" s="283"/>
      <c r="L2" s="283"/>
      <c r="M2" s="283"/>
      <c r="N2" s="283"/>
      <c r="O2" s="283"/>
      <c r="P2" s="283"/>
      <c r="Q2" s="283"/>
      <c r="R2" s="283"/>
      <c r="S2" s="283"/>
      <c r="T2" s="283"/>
      <c r="U2" s="283"/>
      <c r="V2" s="283"/>
      <c r="W2" s="283"/>
    </row>
    <row r="3" spans="1:23" ht="14.45" customHeight="1">
      <c r="A3" s="181" t="s">
        <v>309</v>
      </c>
      <c r="B3" s="180" t="s">
        <v>18</v>
      </c>
      <c r="C3" s="180"/>
      <c r="D3" s="180"/>
      <c r="E3" s="180"/>
      <c r="F3" s="180"/>
      <c r="G3" s="180"/>
      <c r="H3" s="180"/>
      <c r="I3" s="180"/>
      <c r="J3" s="180"/>
      <c r="K3" s="180"/>
      <c r="L3" s="180"/>
      <c r="M3" s="180"/>
      <c r="N3" s="180"/>
      <c r="O3" s="180"/>
      <c r="P3" s="180"/>
      <c r="Q3" s="180"/>
      <c r="R3" s="180"/>
      <c r="S3" s="180"/>
      <c r="T3" s="180"/>
      <c r="U3" s="180"/>
      <c r="V3" s="180"/>
      <c r="W3" s="283"/>
    </row>
    <row r="4" spans="1:23" ht="13.35" customHeight="1">
      <c r="A4" s="184" t="s">
        <v>19</v>
      </c>
      <c r="B4" s="184" t="s">
        <v>422</v>
      </c>
      <c r="C4" s="184" t="s">
        <v>423</v>
      </c>
      <c r="D4" s="184" t="s">
        <v>424</v>
      </c>
      <c r="E4" s="184" t="s">
        <v>425</v>
      </c>
      <c r="F4" s="184" t="s">
        <v>426</v>
      </c>
      <c r="G4" s="184" t="s">
        <v>427</v>
      </c>
      <c r="H4" s="184" t="s">
        <v>428</v>
      </c>
      <c r="I4" s="184" t="s">
        <v>429</v>
      </c>
      <c r="J4" s="184" t="s">
        <v>430</v>
      </c>
      <c r="K4" s="184" t="s">
        <v>431</v>
      </c>
      <c r="L4" s="184" t="s">
        <v>432</v>
      </c>
      <c r="M4" s="184" t="s">
        <v>433</v>
      </c>
      <c r="N4" s="184" t="s">
        <v>434</v>
      </c>
      <c r="O4" s="184" t="s">
        <v>435</v>
      </c>
      <c r="P4" s="184" t="s">
        <v>436</v>
      </c>
      <c r="Q4" s="184" t="s">
        <v>437</v>
      </c>
      <c r="R4" s="184" t="s">
        <v>438</v>
      </c>
      <c r="S4" s="184" t="s">
        <v>439</v>
      </c>
      <c r="T4" s="184" t="s">
        <v>440</v>
      </c>
      <c r="U4" s="184" t="s">
        <v>441</v>
      </c>
      <c r="V4" s="184" t="s">
        <v>442</v>
      </c>
      <c r="W4" s="283"/>
    </row>
    <row r="5" spans="1:23" s="141" customFormat="1" ht="12" customHeight="1">
      <c r="A5" s="181">
        <v>2000</v>
      </c>
      <c r="B5" s="350"/>
      <c r="C5" s="350"/>
      <c r="D5" s="350"/>
      <c r="E5" s="350"/>
      <c r="F5" s="350"/>
      <c r="G5" s="350"/>
      <c r="H5" s="350"/>
      <c r="I5" s="350"/>
      <c r="J5" s="350"/>
      <c r="K5" s="350"/>
      <c r="L5" s="350"/>
      <c r="M5" s="350"/>
      <c r="N5" s="350"/>
      <c r="O5" s="350"/>
      <c r="P5" s="350"/>
      <c r="Q5" s="350"/>
      <c r="R5" s="350"/>
      <c r="S5" s="350"/>
      <c r="T5" s="350"/>
      <c r="U5" s="350"/>
      <c r="V5" s="350">
        <v>1.006</v>
      </c>
      <c r="W5" s="283"/>
    </row>
    <row r="6" spans="1:23" s="109" customFormat="1" ht="12" customHeight="1">
      <c r="A6" s="181">
        <v>2001</v>
      </c>
      <c r="B6" s="350"/>
      <c r="C6" s="350"/>
      <c r="D6" s="350"/>
      <c r="E6" s="350"/>
      <c r="F6" s="350"/>
      <c r="G6" s="350"/>
      <c r="H6" s="350"/>
      <c r="I6" s="350"/>
      <c r="J6" s="350"/>
      <c r="K6" s="350"/>
      <c r="L6" s="350"/>
      <c r="M6" s="350"/>
      <c r="N6" s="350"/>
      <c r="O6" s="350"/>
      <c r="P6" s="350"/>
      <c r="Q6" s="350"/>
      <c r="R6" s="350"/>
      <c r="S6" s="350"/>
      <c r="T6" s="350"/>
      <c r="U6" s="350">
        <v>1.006</v>
      </c>
      <c r="V6" s="350">
        <v>1.004</v>
      </c>
      <c r="W6" s="283"/>
    </row>
    <row r="7" spans="1:23" s="90" customFormat="1" ht="12" customHeight="1">
      <c r="A7" s="181">
        <v>2002</v>
      </c>
      <c r="B7" s="350"/>
      <c r="C7" s="350"/>
      <c r="D7" s="350"/>
      <c r="E7" s="350"/>
      <c r="F7" s="350"/>
      <c r="G7" s="350"/>
      <c r="H7" s="350"/>
      <c r="I7" s="350"/>
      <c r="J7" s="350"/>
      <c r="K7" s="350"/>
      <c r="L7" s="350"/>
      <c r="M7" s="350"/>
      <c r="N7" s="350"/>
      <c r="O7" s="350"/>
      <c r="P7" s="350"/>
      <c r="Q7" s="350"/>
      <c r="R7" s="350"/>
      <c r="S7" s="350"/>
      <c r="T7" s="350">
        <v>1.0069999999999999</v>
      </c>
      <c r="U7" s="350">
        <v>1.0049999999999999</v>
      </c>
      <c r="V7" s="350">
        <v>1.004</v>
      </c>
      <c r="W7" s="283"/>
    </row>
    <row r="8" spans="1:23" ht="12" customHeight="1">
      <c r="A8" s="181">
        <v>2003</v>
      </c>
      <c r="B8" s="350"/>
      <c r="C8" s="350"/>
      <c r="D8" s="350"/>
      <c r="E8" s="350"/>
      <c r="F8" s="350"/>
      <c r="G8" s="350"/>
      <c r="H8" s="350"/>
      <c r="I8" s="350"/>
      <c r="J8" s="350"/>
      <c r="K8" s="350"/>
      <c r="L8" s="350"/>
      <c r="M8" s="350"/>
      <c r="N8" s="350"/>
      <c r="O8" s="350"/>
      <c r="P8" s="350"/>
      <c r="Q8" s="350"/>
      <c r="R8" s="350"/>
      <c r="S8" s="350">
        <v>1.0089999999999999</v>
      </c>
      <c r="T8" s="350">
        <v>1.0049999999999999</v>
      </c>
      <c r="U8" s="350">
        <v>1.006</v>
      </c>
      <c r="V8" s="350" t="s">
        <v>31</v>
      </c>
      <c r="W8" s="283"/>
    </row>
    <row r="9" spans="1:23" ht="12" customHeight="1">
      <c r="A9" s="181">
        <v>2004</v>
      </c>
      <c r="B9" s="350"/>
      <c r="C9" s="350"/>
      <c r="D9" s="350"/>
      <c r="E9" s="350"/>
      <c r="F9" s="350"/>
      <c r="G9" s="350"/>
      <c r="H9" s="350"/>
      <c r="I9" s="350"/>
      <c r="J9" s="350"/>
      <c r="K9" s="350"/>
      <c r="L9" s="350"/>
      <c r="M9" s="350"/>
      <c r="N9" s="350"/>
      <c r="O9" s="350"/>
      <c r="P9" s="350"/>
      <c r="Q9" s="350"/>
      <c r="R9" s="350">
        <v>1.008</v>
      </c>
      <c r="S9" s="350">
        <v>1.006</v>
      </c>
      <c r="T9" s="350">
        <v>1.006</v>
      </c>
      <c r="U9" s="350" t="s">
        <v>31</v>
      </c>
      <c r="V9" s="350"/>
      <c r="W9" s="283"/>
    </row>
    <row r="10" spans="1:23" ht="12" customHeight="1">
      <c r="A10" s="181">
        <v>2005</v>
      </c>
      <c r="B10" s="350"/>
      <c r="C10" s="350"/>
      <c r="D10" s="350"/>
      <c r="E10" s="350"/>
      <c r="F10" s="350"/>
      <c r="G10" s="350"/>
      <c r="H10" s="350"/>
      <c r="I10" s="350"/>
      <c r="J10" s="350"/>
      <c r="K10" s="350"/>
      <c r="L10" s="350"/>
      <c r="M10" s="350"/>
      <c r="N10" s="350"/>
      <c r="O10" s="350"/>
      <c r="P10" s="350"/>
      <c r="Q10" s="350">
        <v>1.008</v>
      </c>
      <c r="R10" s="350">
        <v>1.0069999999999999</v>
      </c>
      <c r="S10" s="350">
        <v>1.0049999999999999</v>
      </c>
      <c r="T10" s="350" t="s">
        <v>31</v>
      </c>
      <c r="U10" s="350"/>
      <c r="V10" s="350"/>
      <c r="W10" s="283"/>
    </row>
    <row r="11" spans="1:23" ht="12" customHeight="1">
      <c r="A11" s="181">
        <v>2006</v>
      </c>
      <c r="B11" s="350"/>
      <c r="C11" s="350"/>
      <c r="D11" s="350"/>
      <c r="E11" s="350"/>
      <c r="F11" s="350"/>
      <c r="G11" s="350"/>
      <c r="H11" s="350"/>
      <c r="I11" s="350"/>
      <c r="J11" s="350"/>
      <c r="K11" s="350"/>
      <c r="L11" s="350"/>
      <c r="M11" s="350"/>
      <c r="N11" s="350"/>
      <c r="O11" s="350"/>
      <c r="P11" s="350">
        <v>1.0109999999999999</v>
      </c>
      <c r="Q11" s="350">
        <v>1.0089999999999999</v>
      </c>
      <c r="R11" s="350">
        <v>1.0069999999999999</v>
      </c>
      <c r="S11" s="350" t="s">
        <v>31</v>
      </c>
      <c r="T11" s="350"/>
      <c r="U11" s="350"/>
      <c r="V11" s="350"/>
      <c r="W11" s="283"/>
    </row>
    <row r="12" spans="1:23" ht="12" customHeight="1">
      <c r="A12" s="181">
        <v>2007</v>
      </c>
      <c r="B12" s="350"/>
      <c r="C12" s="350"/>
      <c r="D12" s="350"/>
      <c r="E12" s="350"/>
      <c r="F12" s="350"/>
      <c r="G12" s="350"/>
      <c r="H12" s="350"/>
      <c r="I12" s="350"/>
      <c r="J12" s="350"/>
      <c r="K12" s="350"/>
      <c r="L12" s="350"/>
      <c r="M12" s="350"/>
      <c r="N12" s="350"/>
      <c r="O12" s="350">
        <v>1.01</v>
      </c>
      <c r="P12" s="350">
        <v>1.008</v>
      </c>
      <c r="Q12" s="350">
        <v>1.0069999999999999</v>
      </c>
      <c r="R12" s="350" t="s">
        <v>31</v>
      </c>
      <c r="S12" s="350"/>
      <c r="T12" s="350"/>
      <c r="U12" s="350"/>
      <c r="V12" s="350"/>
      <c r="W12" s="283"/>
    </row>
    <row r="13" spans="1:23" ht="12" customHeight="1">
      <c r="A13" s="181">
        <v>2008</v>
      </c>
      <c r="B13" s="350"/>
      <c r="C13" s="350"/>
      <c r="D13" s="350"/>
      <c r="E13" s="350"/>
      <c r="F13" s="350"/>
      <c r="G13" s="350"/>
      <c r="H13" s="350"/>
      <c r="I13" s="350"/>
      <c r="J13" s="350"/>
      <c r="K13" s="350"/>
      <c r="L13" s="350"/>
      <c r="M13" s="350"/>
      <c r="N13" s="350">
        <v>1.01</v>
      </c>
      <c r="O13" s="350">
        <v>1.0089999999999999</v>
      </c>
      <c r="P13" s="350">
        <v>1.0069999999999999</v>
      </c>
      <c r="Q13" s="350" t="s">
        <v>31</v>
      </c>
      <c r="R13" s="350"/>
      <c r="S13" s="350"/>
      <c r="T13" s="350"/>
      <c r="U13" s="350"/>
      <c r="V13" s="350"/>
      <c r="W13" s="283"/>
    </row>
    <row r="14" spans="1:23" ht="12" customHeight="1">
      <c r="A14" s="181">
        <v>2009</v>
      </c>
      <c r="B14" s="350"/>
      <c r="C14" s="350"/>
      <c r="D14" s="350"/>
      <c r="E14" s="350"/>
      <c r="F14" s="350"/>
      <c r="G14" s="350"/>
      <c r="H14" s="350"/>
      <c r="I14" s="350"/>
      <c r="J14" s="350"/>
      <c r="K14" s="350"/>
      <c r="L14" s="350"/>
      <c r="M14" s="350">
        <v>1.0149999999999999</v>
      </c>
      <c r="N14" s="350">
        <v>1.01</v>
      </c>
      <c r="O14" s="350">
        <v>1.012</v>
      </c>
      <c r="P14" s="350" t="s">
        <v>31</v>
      </c>
      <c r="Q14" s="350"/>
      <c r="R14" s="350"/>
      <c r="S14" s="350"/>
      <c r="T14" s="350"/>
      <c r="U14" s="350"/>
      <c r="V14" s="350"/>
      <c r="W14" s="283"/>
    </row>
    <row r="15" spans="1:23" ht="12" customHeight="1">
      <c r="A15" s="181">
        <v>2010</v>
      </c>
      <c r="B15" s="350"/>
      <c r="C15" s="350"/>
      <c r="D15" s="350"/>
      <c r="E15" s="350"/>
      <c r="F15" s="350"/>
      <c r="G15" s="350"/>
      <c r="H15" s="350"/>
      <c r="I15" s="350"/>
      <c r="J15" s="350"/>
      <c r="K15" s="350"/>
      <c r="L15" s="350">
        <v>1.014</v>
      </c>
      <c r="M15" s="350">
        <v>1.0089999999999999</v>
      </c>
      <c r="N15" s="350">
        <v>1.0089999999999999</v>
      </c>
      <c r="O15" s="350" t="s">
        <v>31</v>
      </c>
      <c r="P15" s="350"/>
      <c r="Q15" s="350"/>
      <c r="R15" s="350"/>
      <c r="S15" s="350"/>
      <c r="T15" s="350"/>
      <c r="U15" s="350"/>
      <c r="V15" s="350"/>
      <c r="W15" s="283"/>
    </row>
    <row r="16" spans="1:23" ht="12" customHeight="1">
      <c r="A16" s="181">
        <v>2011</v>
      </c>
      <c r="B16" s="350"/>
      <c r="C16" s="350"/>
      <c r="D16" s="350"/>
      <c r="E16" s="350"/>
      <c r="F16" s="350"/>
      <c r="G16" s="350"/>
      <c r="H16" s="350"/>
      <c r="I16" s="350"/>
      <c r="J16" s="350"/>
      <c r="K16" s="350">
        <v>1.016</v>
      </c>
      <c r="L16" s="350">
        <v>1.0109999999999999</v>
      </c>
      <c r="M16" s="350">
        <v>1.01</v>
      </c>
      <c r="N16" s="350" t="s">
        <v>31</v>
      </c>
      <c r="O16" s="350"/>
      <c r="P16" s="350"/>
      <c r="Q16" s="350"/>
      <c r="R16" s="350"/>
      <c r="S16" s="350"/>
      <c r="T16" s="350"/>
      <c r="U16" s="350"/>
      <c r="V16" s="350"/>
      <c r="W16" s="283"/>
    </row>
    <row r="17" spans="1:23" ht="12" customHeight="1">
      <c r="A17" s="181">
        <v>2012</v>
      </c>
      <c r="B17" s="350"/>
      <c r="C17" s="350"/>
      <c r="D17" s="350"/>
      <c r="E17" s="350"/>
      <c r="F17" s="350"/>
      <c r="G17" s="350"/>
      <c r="H17" s="350"/>
      <c r="I17" s="350"/>
      <c r="J17" s="350">
        <v>1.02</v>
      </c>
      <c r="K17" s="350">
        <v>1.0149999999999999</v>
      </c>
      <c r="L17" s="350">
        <v>1.014</v>
      </c>
      <c r="M17" s="350" t="s">
        <v>31</v>
      </c>
      <c r="N17" s="350"/>
      <c r="O17" s="350"/>
      <c r="P17" s="350"/>
      <c r="Q17" s="350"/>
      <c r="R17" s="350"/>
      <c r="S17" s="350"/>
      <c r="T17" s="350"/>
      <c r="U17" s="350"/>
      <c r="V17" s="350"/>
      <c r="W17" s="283"/>
    </row>
    <row r="18" spans="1:23" ht="12" customHeight="1">
      <c r="A18" s="181">
        <v>2013</v>
      </c>
      <c r="B18" s="350"/>
      <c r="C18" s="350"/>
      <c r="D18" s="350"/>
      <c r="E18" s="350"/>
      <c r="F18" s="350"/>
      <c r="G18" s="350"/>
      <c r="H18" s="350"/>
      <c r="I18" s="350">
        <v>1.0229999999999999</v>
      </c>
      <c r="J18" s="350">
        <v>1.016</v>
      </c>
      <c r="K18" s="350">
        <v>1.0129999999999999</v>
      </c>
      <c r="L18" s="350" t="s">
        <v>31</v>
      </c>
      <c r="M18" s="350"/>
      <c r="N18" s="350"/>
      <c r="O18" s="350"/>
      <c r="P18" s="350"/>
      <c r="Q18" s="350"/>
      <c r="R18" s="350"/>
      <c r="S18" s="350"/>
      <c r="T18" s="350"/>
      <c r="U18" s="350"/>
      <c r="V18" s="350"/>
      <c r="W18" s="283"/>
    </row>
    <row r="19" spans="1:23" ht="12" customHeight="1">
      <c r="A19" s="181">
        <v>2014</v>
      </c>
      <c r="B19" s="350"/>
      <c r="C19" s="350"/>
      <c r="D19" s="350"/>
      <c r="E19" s="350"/>
      <c r="F19" s="350"/>
      <c r="G19" s="350"/>
      <c r="H19" s="350">
        <v>1.0329999999999999</v>
      </c>
      <c r="I19" s="350">
        <v>1.0209999999999999</v>
      </c>
      <c r="J19" s="350">
        <v>1.0169999999999999</v>
      </c>
      <c r="K19" s="350" t="s">
        <v>31</v>
      </c>
      <c r="L19" s="350"/>
      <c r="M19" s="350"/>
      <c r="N19" s="350"/>
      <c r="O19" s="350"/>
      <c r="P19" s="350"/>
      <c r="Q19" s="350"/>
      <c r="R19" s="350"/>
      <c r="S19" s="350"/>
      <c r="T19" s="350"/>
      <c r="U19" s="350"/>
      <c r="V19" s="350"/>
      <c r="W19" s="283"/>
    </row>
    <row r="20" spans="1:23" ht="12" customHeight="1">
      <c r="A20" s="181">
        <v>2015</v>
      </c>
      <c r="B20" s="350"/>
      <c r="C20" s="350"/>
      <c r="D20" s="350"/>
      <c r="E20" s="350"/>
      <c r="F20" s="350"/>
      <c r="G20" s="350">
        <v>1.044</v>
      </c>
      <c r="H20" s="350">
        <v>1.028</v>
      </c>
      <c r="I20" s="350">
        <v>1.022</v>
      </c>
      <c r="J20" s="350" t="s">
        <v>31</v>
      </c>
      <c r="K20" s="350"/>
      <c r="L20" s="350"/>
      <c r="M20" s="350"/>
      <c r="N20" s="350"/>
      <c r="O20" s="350"/>
      <c r="P20" s="350"/>
      <c r="Q20" s="350"/>
      <c r="R20" s="350"/>
      <c r="S20" s="350"/>
      <c r="T20" s="350"/>
      <c r="U20" s="350"/>
      <c r="V20" s="350"/>
      <c r="W20" s="283"/>
    </row>
    <row r="21" spans="1:23" ht="12" customHeight="1">
      <c r="A21" s="181">
        <v>2016</v>
      </c>
      <c r="B21" s="350"/>
      <c r="C21" s="350"/>
      <c r="D21" s="350"/>
      <c r="E21" s="350"/>
      <c r="F21" s="350">
        <v>1.0629999999999999</v>
      </c>
      <c r="G21" s="350">
        <v>1.0469999999999999</v>
      </c>
      <c r="H21" s="350">
        <v>1.028</v>
      </c>
      <c r="I21" s="350" t="s">
        <v>31</v>
      </c>
      <c r="J21" s="350"/>
      <c r="K21" s="350"/>
      <c r="L21" s="350"/>
      <c r="M21" s="350"/>
      <c r="N21" s="350"/>
      <c r="O21" s="350"/>
      <c r="P21" s="350"/>
      <c r="Q21" s="350"/>
      <c r="R21" s="350"/>
      <c r="S21" s="350"/>
      <c r="T21" s="350"/>
      <c r="U21" s="350"/>
      <c r="V21" s="350"/>
      <c r="W21" s="283"/>
    </row>
    <row r="22" spans="1:23" ht="12" customHeight="1">
      <c r="A22" s="181">
        <v>2017</v>
      </c>
      <c r="B22" s="350"/>
      <c r="C22" s="350"/>
      <c r="D22" s="350"/>
      <c r="E22" s="350">
        <v>1.101</v>
      </c>
      <c r="F22" s="350">
        <v>1.0680000000000001</v>
      </c>
      <c r="G22" s="350">
        <v>1.042</v>
      </c>
      <c r="H22" s="350" t="s">
        <v>31</v>
      </c>
      <c r="I22" s="350"/>
      <c r="J22" s="350"/>
      <c r="K22" s="350"/>
      <c r="L22" s="350"/>
      <c r="M22" s="350"/>
      <c r="N22" s="350"/>
      <c r="O22" s="350"/>
      <c r="P22" s="350"/>
      <c r="Q22" s="350"/>
      <c r="R22" s="350"/>
      <c r="S22" s="350"/>
      <c r="T22" s="350"/>
      <c r="U22" s="350"/>
      <c r="V22" s="350"/>
      <c r="W22" s="283"/>
    </row>
    <row r="23" spans="1:23" ht="12" customHeight="1">
      <c r="A23" s="181">
        <v>2018</v>
      </c>
      <c r="B23" s="350"/>
      <c r="C23" s="350"/>
      <c r="D23" s="350">
        <v>1.1919999999999999</v>
      </c>
      <c r="E23" s="350">
        <v>1.101</v>
      </c>
      <c r="F23" s="350">
        <v>1.07</v>
      </c>
      <c r="G23" s="350" t="s">
        <v>31</v>
      </c>
      <c r="H23" s="350"/>
      <c r="I23" s="350"/>
      <c r="J23" s="350"/>
      <c r="K23" s="350"/>
      <c r="L23" s="350"/>
      <c r="M23" s="350"/>
      <c r="N23" s="350"/>
      <c r="O23" s="350"/>
      <c r="P23" s="350"/>
      <c r="Q23" s="350"/>
      <c r="R23" s="350"/>
      <c r="S23" s="350"/>
      <c r="T23" s="350"/>
      <c r="U23" s="350"/>
      <c r="V23" s="350"/>
      <c r="W23" s="283"/>
    </row>
    <row r="24" spans="1:23" ht="12" customHeight="1">
      <c r="A24" s="181">
        <v>2019</v>
      </c>
      <c r="B24" s="350"/>
      <c r="C24" s="350">
        <v>1.42</v>
      </c>
      <c r="D24" s="350">
        <v>1.2110000000000001</v>
      </c>
      <c r="E24" s="350">
        <v>1.1200000000000001</v>
      </c>
      <c r="F24" s="350" t="s">
        <v>31</v>
      </c>
      <c r="G24" s="350"/>
      <c r="H24" s="350"/>
      <c r="I24" s="350"/>
      <c r="J24" s="350"/>
      <c r="K24" s="350"/>
      <c r="L24" s="350"/>
      <c r="M24" s="350"/>
      <c r="N24" s="350"/>
      <c r="O24" s="350"/>
      <c r="P24" s="350"/>
      <c r="Q24" s="350"/>
      <c r="R24" s="350"/>
      <c r="S24" s="350"/>
      <c r="T24" s="350"/>
      <c r="U24" s="350"/>
      <c r="V24" s="350"/>
      <c r="W24" s="283"/>
    </row>
    <row r="25" spans="1:23" ht="12" customHeight="1">
      <c r="A25" s="181">
        <v>2020</v>
      </c>
      <c r="B25" s="350">
        <v>2.468</v>
      </c>
      <c r="C25" s="350">
        <v>1.4359999999999999</v>
      </c>
      <c r="D25" s="350">
        <v>1.224</v>
      </c>
      <c r="E25" s="350" t="s">
        <v>31</v>
      </c>
      <c r="F25" s="350"/>
      <c r="G25" s="350"/>
      <c r="H25" s="350"/>
      <c r="I25" s="350"/>
      <c r="J25" s="350"/>
      <c r="K25" s="350"/>
      <c r="L25" s="350"/>
      <c r="M25" s="350"/>
      <c r="N25" s="350"/>
      <c r="O25" s="350"/>
      <c r="P25" s="350"/>
      <c r="Q25" s="350"/>
      <c r="R25" s="350"/>
      <c r="S25" s="350"/>
      <c r="T25" s="350"/>
      <c r="U25" s="350"/>
      <c r="V25" s="350"/>
      <c r="W25" s="283"/>
    </row>
    <row r="26" spans="1:23" ht="12" customHeight="1">
      <c r="A26" s="181">
        <v>2021</v>
      </c>
      <c r="B26" s="350">
        <v>2.4900000000000002</v>
      </c>
      <c r="C26" s="350">
        <v>1.45</v>
      </c>
      <c r="D26" s="350" t="s">
        <v>31</v>
      </c>
      <c r="E26" s="350"/>
      <c r="F26" s="350"/>
      <c r="G26" s="350"/>
      <c r="H26" s="350"/>
      <c r="I26" s="350"/>
      <c r="J26" s="350"/>
      <c r="K26" s="350"/>
      <c r="L26" s="350"/>
      <c r="M26" s="350"/>
      <c r="N26" s="350"/>
      <c r="O26" s="350"/>
      <c r="P26" s="350"/>
      <c r="Q26" s="350"/>
      <c r="R26" s="350"/>
      <c r="S26" s="350"/>
      <c r="T26" s="350"/>
      <c r="U26" s="350"/>
      <c r="V26" s="350"/>
      <c r="W26" s="283"/>
    </row>
    <row r="27" spans="1:23" s="73" customFormat="1" ht="12" customHeight="1">
      <c r="A27" s="181">
        <v>2022</v>
      </c>
      <c r="B27" s="350">
        <v>2.6179999999999999</v>
      </c>
      <c r="C27" s="350"/>
      <c r="D27" s="350"/>
      <c r="E27" s="350"/>
      <c r="F27" s="350"/>
      <c r="G27" s="350"/>
      <c r="H27" s="350"/>
      <c r="I27" s="350"/>
      <c r="J27" s="350"/>
      <c r="K27" s="350"/>
      <c r="L27" s="350"/>
      <c r="M27" s="350"/>
      <c r="N27" s="350"/>
      <c r="O27" s="350"/>
      <c r="P27" s="350"/>
      <c r="Q27" s="350"/>
      <c r="R27" s="350"/>
      <c r="S27" s="350"/>
      <c r="T27" s="350"/>
      <c r="U27" s="350"/>
      <c r="V27" s="350"/>
      <c r="W27" s="283"/>
    </row>
    <row r="28" spans="1:23" s="63" customFormat="1" ht="12" customHeight="1">
      <c r="A28" s="181"/>
      <c r="B28" s="181"/>
      <c r="C28" s="183"/>
      <c r="D28" s="312"/>
      <c r="E28" s="312"/>
      <c r="F28" s="312"/>
      <c r="G28" s="312"/>
      <c r="H28" s="312"/>
      <c r="I28" s="312"/>
      <c r="J28" s="312"/>
      <c r="K28" s="312"/>
      <c r="L28" s="183"/>
      <c r="M28" s="312"/>
      <c r="N28" s="312"/>
      <c r="O28" s="312"/>
      <c r="P28" s="312"/>
      <c r="Q28" s="312"/>
      <c r="R28" s="312"/>
      <c r="S28" s="312"/>
      <c r="T28" s="312"/>
      <c r="U28" s="312"/>
      <c r="V28" s="312"/>
      <c r="W28" s="283"/>
    </row>
    <row r="29" spans="1:23" ht="12" customHeight="1">
      <c r="A29" s="181" t="s">
        <v>33</v>
      </c>
      <c r="B29" s="351">
        <f ca="1">OFFSET(B$28,-COUNTA($B$4:B$4),0)</f>
        <v>2.6179999999999999</v>
      </c>
      <c r="C29" s="351">
        <f ca="1">OFFSET(C$28,-COUNTA($B$4:C$4),0)</f>
        <v>1.45</v>
      </c>
      <c r="D29" s="351">
        <f ca="1">OFFSET(D$28,-COUNTA($B$4:D$4),0)</f>
        <v>1.224</v>
      </c>
      <c r="E29" s="351">
        <f ca="1">OFFSET(E$28,-COUNTA($B$4:E$4),0)</f>
        <v>1.1200000000000001</v>
      </c>
      <c r="F29" s="351">
        <f ca="1">OFFSET(F$28,-COUNTA($B$4:F$4),0)</f>
        <v>1.07</v>
      </c>
      <c r="G29" s="351">
        <f ca="1">OFFSET(G$28,-COUNTA($B$4:G$4),0)</f>
        <v>1.042</v>
      </c>
      <c r="H29" s="351">
        <f ca="1">OFFSET(H$28,-COUNTA($B$4:H$4),0)</f>
        <v>1.028</v>
      </c>
      <c r="I29" s="351">
        <f ca="1">OFFSET(I$28,-COUNTA($B$4:I$4),0)</f>
        <v>1.022</v>
      </c>
      <c r="J29" s="351">
        <f ca="1">AVERAGE(OFFSET(J$26:J$28,-COUNTA($B$4:J$4),0))</f>
        <v>1.0176666666666667</v>
      </c>
      <c r="K29" s="351">
        <f ca="1">AVERAGE(OFFSET(K$26:K$28,-COUNTA($B$4:K$4),0))</f>
        <v>1.0146666666666666</v>
      </c>
      <c r="L29" s="351">
        <f ca="1">AVERAGE(OFFSET(L$26:L$28,-COUNTA($B$4:L$4),0))</f>
        <v>1.0129999999999999</v>
      </c>
      <c r="M29" s="351">
        <f ca="1">AVERAGE(OFFSET(M$26:M$28,-COUNTA($B$4:M$4),0))</f>
        <v>1.0113333333333332</v>
      </c>
      <c r="N29" s="351">
        <f ca="1">AVERAGE(OFFSET(N$26:N$28,-COUNTA($B$4:N$4),0))</f>
        <v>1.0096666666666667</v>
      </c>
      <c r="O29" s="351">
        <f ca="1">AVERAGE(OFFSET(O$26:O$28,-COUNTA($B$4:O$4),0))</f>
        <v>1.0103333333333333</v>
      </c>
      <c r="P29" s="351">
        <f ca="1">AVERAGE(OFFSET(P$26:P$28,-COUNTA($B$4:P$4),0))</f>
        <v>1.0086666666666666</v>
      </c>
      <c r="Q29" s="351">
        <f ca="1">AVERAGE(OFFSET(Q$26:Q$28,-COUNTA($B$4:Q$4),0))</f>
        <v>1.008</v>
      </c>
      <c r="R29" s="351">
        <f ca="1">AVERAGE(OFFSET(R$26:R$28,-COUNTA($B$4:R$4),0))</f>
        <v>1.0073333333333332</v>
      </c>
      <c r="S29" s="351">
        <f ca="1">AVERAGE(OFFSET(S$26:S$28,-COUNTA($B$4:S$4),0))</f>
        <v>1.0066666666666666</v>
      </c>
      <c r="T29" s="351">
        <f ca="1">AVERAGE(OFFSET(T$26:T$28,-COUNTA($B$4:T$4),0))</f>
        <v>1.006</v>
      </c>
      <c r="U29" s="351">
        <f ca="1">AVERAGE(OFFSET(U$26:U$28,-COUNTA($B$4:U$4),0))</f>
        <v>1.0056666666666667</v>
      </c>
      <c r="V29" s="351">
        <f ca="1">AVERAGE(OFFSET(V$26:V$28,-COUNTA($B$4:V$4),0))</f>
        <v>1.0046666666666666</v>
      </c>
      <c r="W29" s="283"/>
    </row>
    <row r="30" spans="1:23" s="106" customFormat="1" ht="12" customHeight="1">
      <c r="A30" s="181" t="s">
        <v>21</v>
      </c>
      <c r="B30" s="351">
        <f ca="1">C30*B29</f>
        <v>7.624954127998957</v>
      </c>
      <c r="C30" s="351">
        <f t="shared" ref="C30:U30" ca="1" si="0">D30*C29</f>
        <v>2.9125111260500218</v>
      </c>
      <c r="D30" s="351">
        <f t="shared" ca="1" si="0"/>
        <v>2.0086283627931185</v>
      </c>
      <c r="E30" s="351">
        <f t="shared" ca="1" si="0"/>
        <v>1.641036244112025</v>
      </c>
      <c r="F30" s="351">
        <f t="shared" ca="1" si="0"/>
        <v>1.4652109322428792</v>
      </c>
      <c r="G30" s="351">
        <f t="shared" ca="1" si="0"/>
        <v>1.3693560114419432</v>
      </c>
      <c r="H30" s="351">
        <f t="shared" ca="1" si="0"/>
        <v>1.3141612393876614</v>
      </c>
      <c r="I30" s="351">
        <f t="shared" ca="1" si="0"/>
        <v>1.2783669643848845</v>
      </c>
      <c r="J30" s="351">
        <f t="shared" ca="1" si="0"/>
        <v>1.2508483017464622</v>
      </c>
      <c r="K30" s="351">
        <f t="shared" ca="1" si="0"/>
        <v>1.2291336080050397</v>
      </c>
      <c r="L30" s="351">
        <f t="shared" ca="1" si="0"/>
        <v>1.2113668935660706</v>
      </c>
      <c r="M30" s="351">
        <f t="shared" ca="1" si="0"/>
        <v>1.1958212177355092</v>
      </c>
      <c r="N30" s="351">
        <f t="shared" ca="1" si="0"/>
        <v>1.1824204526059749</v>
      </c>
      <c r="O30" s="351">
        <f t="shared" ca="1" si="0"/>
        <v>1.1710998210029464</v>
      </c>
      <c r="P30" s="351">
        <f t="shared" ca="1" si="0"/>
        <v>1.1591222246812403</v>
      </c>
      <c r="Q30" s="351">
        <f t="shared" ca="1" si="0"/>
        <v>1.1491628136297822</v>
      </c>
      <c r="R30" s="351">
        <f t="shared" ca="1" si="0"/>
        <v>1.1400424738390698</v>
      </c>
      <c r="S30" s="351">
        <f t="shared" ca="1" si="0"/>
        <v>1.1317430249891496</v>
      </c>
      <c r="T30" s="351">
        <f t="shared" ca="1" si="0"/>
        <v>1.1242480380686917</v>
      </c>
      <c r="U30" s="351">
        <f t="shared" ca="1" si="0"/>
        <v>1.1175427813804093</v>
      </c>
      <c r="V30" s="351">
        <f ca="1">'Exhibit 2.6.2'!B28*V29</f>
        <v>1.111245722287447</v>
      </c>
      <c r="W30" s="283"/>
    </row>
    <row r="31" spans="1:23" s="141" customFormat="1" ht="12" customHeight="1">
      <c r="A31" s="181"/>
      <c r="B31" s="193"/>
      <c r="C31" s="193"/>
      <c r="D31" s="193"/>
      <c r="E31" s="193"/>
      <c r="F31" s="193"/>
      <c r="G31" s="193"/>
      <c r="H31" s="193"/>
      <c r="I31" s="193"/>
      <c r="J31" s="193"/>
      <c r="K31" s="193"/>
      <c r="L31" s="193"/>
      <c r="M31" s="193"/>
      <c r="N31" s="193"/>
      <c r="O31" s="193"/>
      <c r="P31" s="193"/>
      <c r="Q31" s="193"/>
      <c r="R31" s="193"/>
      <c r="S31" s="193"/>
      <c r="T31" s="193"/>
      <c r="U31" s="193"/>
      <c r="V31" s="193"/>
      <c r="W31" s="343"/>
    </row>
    <row r="32" spans="1:23" s="141" customFormat="1" ht="12" customHeight="1">
      <c r="A32" s="181"/>
      <c r="B32" s="193"/>
      <c r="C32" s="193"/>
      <c r="D32" s="193"/>
      <c r="E32" s="193"/>
      <c r="F32" s="193"/>
      <c r="G32" s="193"/>
      <c r="H32" s="193"/>
      <c r="I32" s="193"/>
      <c r="J32" s="193"/>
      <c r="K32" s="193"/>
      <c r="L32" s="193"/>
      <c r="M32" s="193"/>
      <c r="N32" s="193"/>
      <c r="O32" s="193"/>
      <c r="P32" s="193"/>
      <c r="Q32" s="193"/>
      <c r="R32" s="193"/>
      <c r="S32" s="193"/>
      <c r="T32" s="193"/>
      <c r="U32" s="193"/>
      <c r="V32" s="193"/>
      <c r="W32" s="343"/>
    </row>
    <row r="33" spans="1:23" s="141" customFormat="1" ht="12" customHeight="1">
      <c r="A33" s="189" t="str">
        <f>"Selected Medical Development Factors - Incurred to Ultimate"</f>
        <v>Selected Medical Development Factors - Incurred to Ultimate</v>
      </c>
      <c r="B33" s="189"/>
      <c r="C33" s="189"/>
      <c r="D33" s="189"/>
      <c r="E33" s="189"/>
      <c r="F33" s="189"/>
      <c r="G33" s="189"/>
      <c r="H33" s="189"/>
      <c r="I33" s="189"/>
      <c r="J33" s="189"/>
      <c r="K33" s="189"/>
      <c r="L33" s="189"/>
      <c r="M33" s="189"/>
      <c r="N33" s="189"/>
      <c r="O33" s="189"/>
      <c r="P33" s="189"/>
      <c r="Q33" s="189"/>
      <c r="R33" s="189"/>
      <c r="S33" s="189"/>
      <c r="T33" s="189"/>
      <c r="U33" s="189"/>
      <c r="V33" s="189"/>
      <c r="W33" s="343"/>
    </row>
    <row r="34" spans="1:23" s="141" customFormat="1" ht="12" customHeight="1">
      <c r="A34" s="181"/>
      <c r="B34" s="193"/>
      <c r="C34" s="193"/>
      <c r="D34" s="193"/>
      <c r="E34" s="193"/>
      <c r="F34" s="193"/>
      <c r="G34" s="193"/>
      <c r="H34" s="193"/>
      <c r="I34" s="193"/>
      <c r="J34" s="193"/>
      <c r="K34" s="193"/>
      <c r="L34" s="193"/>
      <c r="M34" s="193"/>
      <c r="N34" s="193"/>
      <c r="O34" s="193"/>
      <c r="P34" s="193"/>
      <c r="Q34" s="193"/>
      <c r="R34" s="193"/>
      <c r="S34" s="193"/>
      <c r="T34" s="193"/>
      <c r="U34" s="193"/>
      <c r="V34" s="193"/>
      <c r="W34" s="343"/>
    </row>
    <row r="35" spans="1:23" s="141" customFormat="1" ht="12" customHeight="1">
      <c r="A35" s="181"/>
      <c r="B35" s="190" t="s">
        <v>18</v>
      </c>
      <c r="C35" s="190"/>
      <c r="D35" s="190"/>
      <c r="E35" s="190"/>
      <c r="F35" s="190"/>
      <c r="G35" s="190"/>
      <c r="H35" s="190"/>
      <c r="I35" s="190"/>
      <c r="J35" s="190"/>
      <c r="K35" s="190"/>
      <c r="L35" s="190"/>
      <c r="M35" s="190"/>
      <c r="N35" s="190"/>
      <c r="O35" s="190"/>
      <c r="P35" s="190"/>
      <c r="Q35" s="190"/>
      <c r="R35" s="190"/>
      <c r="S35" s="190"/>
      <c r="T35" s="190"/>
      <c r="U35" s="190"/>
      <c r="V35" s="190"/>
      <c r="W35" s="343"/>
    </row>
    <row r="36" spans="1:23" s="141" customFormat="1" ht="12" customHeight="1">
      <c r="A36" s="184" t="s">
        <v>19</v>
      </c>
      <c r="B36" s="184" t="s">
        <v>422</v>
      </c>
      <c r="C36" s="184" t="s">
        <v>423</v>
      </c>
      <c r="D36" s="184" t="s">
        <v>424</v>
      </c>
      <c r="E36" s="184" t="s">
        <v>425</v>
      </c>
      <c r="F36" s="184" t="s">
        <v>426</v>
      </c>
      <c r="G36" s="184" t="s">
        <v>427</v>
      </c>
      <c r="H36" s="184" t="s">
        <v>428</v>
      </c>
      <c r="I36" s="184" t="s">
        <v>429</v>
      </c>
      <c r="J36" s="184" t="s">
        <v>430</v>
      </c>
      <c r="K36" s="345" t="s">
        <v>443</v>
      </c>
      <c r="L36" s="193"/>
      <c r="M36" s="193"/>
      <c r="N36" s="193"/>
      <c r="O36" s="193"/>
      <c r="P36" s="193"/>
      <c r="Q36" s="193"/>
      <c r="R36" s="193"/>
      <c r="S36" s="193"/>
      <c r="T36" s="193"/>
      <c r="U36" s="193"/>
      <c r="V36" s="193"/>
      <c r="W36" s="343"/>
    </row>
    <row r="37" spans="1:23" s="141" customFormat="1" ht="12" customHeight="1">
      <c r="A37" s="181">
        <v>2012</v>
      </c>
      <c r="B37" s="350">
        <v>1.5920000000000001</v>
      </c>
      <c r="C37" s="350">
        <v>1.1879999999999999</v>
      </c>
      <c r="D37" s="350">
        <v>1.0920000000000001</v>
      </c>
      <c r="E37" s="350">
        <v>1.056</v>
      </c>
      <c r="F37" s="350">
        <v>1.0309999999999999</v>
      </c>
      <c r="G37" s="350">
        <v>1.0149999999999999</v>
      </c>
      <c r="H37" s="350">
        <v>1.0149999999999999</v>
      </c>
      <c r="I37" s="350">
        <v>1.006</v>
      </c>
      <c r="J37" s="350">
        <v>1.0049999999999999</v>
      </c>
      <c r="K37" s="350">
        <v>0.92578630928998096</v>
      </c>
      <c r="L37" s="193"/>
      <c r="M37" s="193"/>
      <c r="N37" s="193"/>
      <c r="O37" s="193"/>
      <c r="P37" s="193"/>
      <c r="Q37" s="193"/>
      <c r="R37" s="193"/>
      <c r="S37" s="193"/>
      <c r="T37" s="193"/>
      <c r="U37" s="193"/>
      <c r="V37" s="193"/>
      <c r="W37" s="343"/>
    </row>
    <row r="38" spans="1:23" s="141" customFormat="1" ht="12" customHeight="1">
      <c r="A38" s="181">
        <f>+A37+1</f>
        <v>2013</v>
      </c>
      <c r="B38" s="350">
        <v>1.5589999999999999</v>
      </c>
      <c r="C38" s="350">
        <v>1.1499999999999999</v>
      </c>
      <c r="D38" s="350">
        <v>1.0860000000000001</v>
      </c>
      <c r="E38" s="350">
        <v>1.0389999999999999</v>
      </c>
      <c r="F38" s="350">
        <v>1.022</v>
      </c>
      <c r="G38" s="350">
        <v>1.014</v>
      </c>
      <c r="H38" s="350">
        <v>1.006</v>
      </c>
      <c r="I38" s="350">
        <v>1.0009999999999999</v>
      </c>
      <c r="J38" s="350">
        <v>1.006</v>
      </c>
      <c r="K38" s="350">
        <v>0.93482927517929948</v>
      </c>
      <c r="L38" s="193"/>
      <c r="M38" s="193"/>
      <c r="N38" s="193"/>
      <c r="O38" s="193"/>
      <c r="P38" s="193"/>
      <c r="Q38" s="193"/>
      <c r="R38" s="193"/>
      <c r="S38" s="193"/>
      <c r="T38" s="193"/>
      <c r="U38" s="193"/>
      <c r="V38" s="193"/>
      <c r="W38" s="343"/>
    </row>
    <row r="39" spans="1:23" s="141" customFormat="1" ht="12" customHeight="1">
      <c r="A39" s="181">
        <f t="shared" ref="A39:A46" si="1">+A38+1</f>
        <v>2014</v>
      </c>
      <c r="B39" s="350">
        <v>1.5229999999999999</v>
      </c>
      <c r="C39" s="350">
        <v>1.159</v>
      </c>
      <c r="D39" s="350">
        <v>1.079</v>
      </c>
      <c r="E39" s="350">
        <v>1.0349999999999999</v>
      </c>
      <c r="F39" s="350">
        <v>1.0269999999999999</v>
      </c>
      <c r="G39" s="350">
        <v>1.0109999999999999</v>
      </c>
      <c r="H39" s="350">
        <v>1.01</v>
      </c>
      <c r="I39" s="350">
        <v>1.0069999999999999</v>
      </c>
      <c r="J39" s="350">
        <v>1.0049999999999999</v>
      </c>
      <c r="K39" s="350">
        <v>0.93718322169556079</v>
      </c>
      <c r="L39" s="193"/>
      <c r="M39" s="193"/>
      <c r="N39" s="193"/>
      <c r="O39" s="193"/>
      <c r="P39" s="193"/>
      <c r="Q39" s="193"/>
      <c r="R39" s="193"/>
      <c r="S39" s="193"/>
      <c r="T39" s="193"/>
      <c r="U39" s="193"/>
      <c r="V39" s="193"/>
      <c r="W39" s="343"/>
    </row>
    <row r="40" spans="1:23" s="141" customFormat="1" ht="12" customHeight="1">
      <c r="A40" s="181">
        <f t="shared" si="1"/>
        <v>2015</v>
      </c>
      <c r="B40" s="350">
        <v>1.5109999999999999</v>
      </c>
      <c r="C40" s="350">
        <v>1.1459999999999999</v>
      </c>
      <c r="D40" s="350">
        <v>1.0640000000000001</v>
      </c>
      <c r="E40" s="350">
        <v>1.03</v>
      </c>
      <c r="F40" s="350">
        <v>1.018</v>
      </c>
      <c r="G40" s="350">
        <v>1.0069999999999999</v>
      </c>
      <c r="H40" s="350">
        <v>1.0049999999999999</v>
      </c>
      <c r="I40" s="350">
        <v>1.0089999999999999</v>
      </c>
      <c r="J40" s="350" t="s">
        <v>31</v>
      </c>
      <c r="K40" s="350"/>
      <c r="L40" s="193"/>
      <c r="M40" s="193"/>
      <c r="N40" s="193"/>
      <c r="O40" s="193"/>
      <c r="P40" s="193"/>
      <c r="Q40" s="193"/>
      <c r="R40" s="193"/>
      <c r="S40" s="193"/>
      <c r="T40" s="193"/>
      <c r="U40" s="193"/>
      <c r="V40" s="193"/>
      <c r="W40" s="343"/>
    </row>
    <row r="41" spans="1:23" s="141" customFormat="1" ht="12" customHeight="1">
      <c r="A41" s="181">
        <f t="shared" si="1"/>
        <v>2016</v>
      </c>
      <c r="B41" s="350">
        <v>1.498</v>
      </c>
      <c r="C41" s="350">
        <v>1.1240000000000001</v>
      </c>
      <c r="D41" s="350">
        <v>1.0449999999999999</v>
      </c>
      <c r="E41" s="350">
        <v>1.0309999999999999</v>
      </c>
      <c r="F41" s="350">
        <v>1.0169999999999999</v>
      </c>
      <c r="G41" s="350">
        <v>1.0129999999999999</v>
      </c>
      <c r="H41" s="350">
        <v>1.0049999999999999</v>
      </c>
      <c r="I41" s="350" t="s">
        <v>31</v>
      </c>
      <c r="J41" s="350" t="s">
        <v>31</v>
      </c>
      <c r="K41" s="350"/>
      <c r="L41" s="193"/>
      <c r="M41" s="193"/>
      <c r="N41" s="193"/>
      <c r="O41" s="193"/>
      <c r="P41" s="193"/>
      <c r="Q41" s="193"/>
      <c r="R41" s="193"/>
      <c r="S41" s="193"/>
      <c r="T41" s="193"/>
      <c r="U41" s="193"/>
      <c r="V41" s="193"/>
      <c r="W41" s="343"/>
    </row>
    <row r="42" spans="1:23" s="141" customFormat="1" ht="12" customHeight="1">
      <c r="A42" s="181">
        <f t="shared" si="1"/>
        <v>2017</v>
      </c>
      <c r="B42" s="350">
        <v>1.44</v>
      </c>
      <c r="C42" s="350">
        <v>1.117</v>
      </c>
      <c r="D42" s="350">
        <v>1.0509999999999999</v>
      </c>
      <c r="E42" s="350">
        <v>1.0269999999999999</v>
      </c>
      <c r="F42" s="350">
        <v>1.024</v>
      </c>
      <c r="G42" s="350">
        <v>1.0089999999999999</v>
      </c>
      <c r="H42" s="350" t="s">
        <v>31</v>
      </c>
      <c r="I42" s="350" t="s">
        <v>31</v>
      </c>
      <c r="J42" s="350" t="s">
        <v>31</v>
      </c>
      <c r="K42" s="350"/>
      <c r="L42" s="193"/>
      <c r="M42" s="193"/>
      <c r="N42" s="193"/>
      <c r="O42" s="193"/>
      <c r="P42" s="193"/>
      <c r="Q42" s="193"/>
      <c r="R42" s="193"/>
      <c r="S42" s="193"/>
      <c r="T42" s="193"/>
      <c r="U42" s="193"/>
      <c r="V42" s="193"/>
      <c r="W42" s="343"/>
    </row>
    <row r="43" spans="1:23" s="141" customFormat="1" ht="12" customHeight="1">
      <c r="A43" s="181">
        <f t="shared" si="1"/>
        <v>2018</v>
      </c>
      <c r="B43" s="350">
        <v>1.4490000000000001</v>
      </c>
      <c r="C43" s="350">
        <v>1.1100000000000001</v>
      </c>
      <c r="D43" s="350">
        <v>1.054</v>
      </c>
      <c r="E43" s="350">
        <v>1.0309999999999999</v>
      </c>
      <c r="F43" s="350">
        <v>1.0289999999999999</v>
      </c>
      <c r="G43" s="350" t="s">
        <v>31</v>
      </c>
      <c r="H43" s="350" t="s">
        <v>31</v>
      </c>
      <c r="I43" s="350" t="s">
        <v>31</v>
      </c>
      <c r="J43" s="350" t="s">
        <v>31</v>
      </c>
      <c r="K43" s="350"/>
      <c r="L43" s="193"/>
      <c r="M43" s="193"/>
      <c r="N43" s="193"/>
      <c r="O43" s="193"/>
      <c r="P43" s="193"/>
      <c r="Q43" s="193"/>
      <c r="R43" s="193"/>
      <c r="S43" s="193"/>
      <c r="T43" s="193"/>
      <c r="U43" s="193"/>
      <c r="V43" s="193"/>
      <c r="W43" s="343"/>
    </row>
    <row r="44" spans="1:23" s="141" customFormat="1" ht="12" customHeight="1">
      <c r="A44" s="181">
        <f t="shared" si="1"/>
        <v>2019</v>
      </c>
      <c r="B44" s="350">
        <v>1.452</v>
      </c>
      <c r="C44" s="350">
        <v>1.1240000000000001</v>
      </c>
      <c r="D44" s="350">
        <v>1.0640000000000001</v>
      </c>
      <c r="E44" s="350">
        <v>1.0429999999999999</v>
      </c>
      <c r="F44" s="350" t="s">
        <v>31</v>
      </c>
      <c r="G44" s="350" t="s">
        <v>31</v>
      </c>
      <c r="H44" s="350" t="s">
        <v>31</v>
      </c>
      <c r="I44" s="350" t="s">
        <v>31</v>
      </c>
      <c r="J44" s="350" t="s">
        <v>31</v>
      </c>
      <c r="K44" s="350"/>
      <c r="L44" s="193"/>
      <c r="M44" s="193"/>
      <c r="N44" s="193"/>
      <c r="O44" s="193"/>
      <c r="P44" s="193"/>
      <c r="Q44" s="193"/>
      <c r="R44" s="193"/>
      <c r="S44" s="193"/>
      <c r="T44" s="193"/>
      <c r="U44" s="193"/>
      <c r="V44" s="193"/>
      <c r="W44" s="343"/>
    </row>
    <row r="45" spans="1:23" s="141" customFormat="1" ht="12" customHeight="1">
      <c r="A45" s="181">
        <f t="shared" si="1"/>
        <v>2020</v>
      </c>
      <c r="B45" s="350">
        <v>1.4450000000000001</v>
      </c>
      <c r="C45" s="350">
        <v>1.1519999999999999</v>
      </c>
      <c r="D45" s="350">
        <v>1.0840000000000001</v>
      </c>
      <c r="E45" s="350" t="s">
        <v>31</v>
      </c>
      <c r="F45" s="350" t="s">
        <v>31</v>
      </c>
      <c r="G45" s="350" t="s">
        <v>31</v>
      </c>
      <c r="H45" s="350" t="s">
        <v>31</v>
      </c>
      <c r="I45" s="350" t="s">
        <v>31</v>
      </c>
      <c r="J45" s="350" t="s">
        <v>31</v>
      </c>
      <c r="K45" s="350"/>
      <c r="L45" s="193"/>
      <c r="M45" s="193"/>
      <c r="N45" s="193"/>
      <c r="O45" s="193"/>
      <c r="P45" s="193"/>
      <c r="Q45" s="193"/>
      <c r="R45" s="193"/>
      <c r="S45" s="193"/>
      <c r="T45" s="193"/>
      <c r="U45" s="193"/>
      <c r="V45" s="193"/>
      <c r="W45" s="343"/>
    </row>
    <row r="46" spans="1:23" s="141" customFormat="1" ht="12" customHeight="1">
      <c r="A46" s="181">
        <f t="shared" si="1"/>
        <v>2021</v>
      </c>
      <c r="B46" s="350">
        <v>1.46</v>
      </c>
      <c r="C46" s="350">
        <v>1.169</v>
      </c>
      <c r="D46" s="350" t="s">
        <v>31</v>
      </c>
      <c r="E46" s="350" t="s">
        <v>31</v>
      </c>
      <c r="F46" s="350" t="s">
        <v>31</v>
      </c>
      <c r="G46" s="350" t="s">
        <v>31</v>
      </c>
      <c r="H46" s="350" t="s">
        <v>31</v>
      </c>
      <c r="I46" s="350" t="s">
        <v>31</v>
      </c>
      <c r="J46" s="350" t="s">
        <v>31</v>
      </c>
      <c r="K46" s="350"/>
      <c r="L46" s="193"/>
      <c r="M46" s="193"/>
      <c r="N46" s="193"/>
      <c r="O46" s="193"/>
      <c r="P46" s="193"/>
      <c r="Q46" s="193"/>
      <c r="R46" s="193"/>
      <c r="S46" s="193"/>
      <c r="T46" s="193"/>
      <c r="U46" s="193"/>
      <c r="V46" s="193"/>
      <c r="W46" s="343"/>
    </row>
    <row r="47" spans="1:23" s="141" customFormat="1" ht="12" customHeight="1">
      <c r="A47" s="181">
        <f>+A46+1</f>
        <v>2022</v>
      </c>
      <c r="B47" s="350">
        <v>1.5109999999999999</v>
      </c>
      <c r="C47" s="350" t="s">
        <v>31</v>
      </c>
      <c r="D47" s="350" t="s">
        <v>31</v>
      </c>
      <c r="E47" s="350" t="s">
        <v>31</v>
      </c>
      <c r="F47" s="350" t="s">
        <v>31</v>
      </c>
      <c r="G47" s="350" t="s">
        <v>31</v>
      </c>
      <c r="H47" s="350" t="s">
        <v>31</v>
      </c>
      <c r="I47" s="350" t="s">
        <v>31</v>
      </c>
      <c r="J47" s="350" t="s">
        <v>31</v>
      </c>
      <c r="K47" s="350"/>
      <c r="L47" s="193"/>
      <c r="M47" s="193"/>
      <c r="N47" s="193"/>
      <c r="O47" s="193"/>
      <c r="P47" s="193"/>
      <c r="Q47" s="193"/>
      <c r="R47" s="193"/>
      <c r="S47" s="193"/>
      <c r="T47" s="193"/>
      <c r="U47" s="193"/>
      <c r="V47" s="193"/>
      <c r="W47" s="343"/>
    </row>
    <row r="48" spans="1:23" s="141" customFormat="1" ht="12" customHeight="1">
      <c r="A48" s="181"/>
      <c r="B48" s="193"/>
      <c r="C48" s="193"/>
      <c r="D48" s="193"/>
      <c r="E48" s="193"/>
      <c r="F48" s="193"/>
      <c r="G48" s="193"/>
      <c r="H48" s="193"/>
      <c r="I48" s="193"/>
      <c r="J48" s="193"/>
      <c r="K48" s="193"/>
      <c r="L48" s="193"/>
      <c r="M48" s="193"/>
      <c r="N48" s="193"/>
      <c r="O48" s="193"/>
      <c r="P48" s="193"/>
      <c r="Q48" s="193"/>
      <c r="R48" s="193"/>
      <c r="S48" s="193"/>
      <c r="T48" s="193"/>
      <c r="U48" s="193"/>
      <c r="V48" s="193"/>
      <c r="W48" s="343"/>
    </row>
    <row r="49" spans="1:23" s="141" customFormat="1" ht="12" customHeight="1">
      <c r="A49" s="181" t="s">
        <v>355</v>
      </c>
      <c r="B49" s="351">
        <f ca="1">OFFSET(B$48,-COUNTA($B$36:B$36),0)</f>
        <v>1.5109999999999999</v>
      </c>
      <c r="C49" s="351">
        <f ca="1">OFFSET(C$48,-COUNTA($B$36:C$36),0)</f>
        <v>1.169</v>
      </c>
      <c r="D49" s="351">
        <f ca="1">OFFSET(D$48,-COUNTA($B$36:D$36),0)</f>
        <v>1.0840000000000001</v>
      </c>
      <c r="E49" s="351">
        <f ca="1">OFFSET(E$48,-COUNTA($B$36:E$36),0)</f>
        <v>1.0429999999999999</v>
      </c>
      <c r="F49" s="351">
        <f ca="1">OFFSET(F$48,-COUNTA($B$36:F$36),0)</f>
        <v>1.0289999999999999</v>
      </c>
      <c r="G49" s="351">
        <f ca="1">OFFSET(G$48,-COUNTA($B$36:G$36),0)</f>
        <v>1.0089999999999999</v>
      </c>
      <c r="H49" s="351">
        <f ca="1">OFFSET(H$48,-COUNTA($B$36:H$36),0)</f>
        <v>1.0049999999999999</v>
      </c>
      <c r="I49" s="351">
        <f ca="1">OFFSET(I$48,-COUNTA($B$36:I$36),0)</f>
        <v>1.0089999999999999</v>
      </c>
      <c r="J49" s="350">
        <v>1.0056666666666667</v>
      </c>
      <c r="K49" s="193"/>
      <c r="L49" s="193"/>
      <c r="M49" s="193"/>
      <c r="N49" s="193"/>
      <c r="O49" s="193"/>
      <c r="P49" s="193"/>
      <c r="Q49" s="193"/>
      <c r="R49" s="193"/>
      <c r="S49" s="193"/>
      <c r="T49" s="193"/>
      <c r="U49" s="193"/>
      <c r="V49" s="193"/>
      <c r="W49" s="343"/>
    </row>
    <row r="50" spans="1:23" s="141" customFormat="1" ht="12" customHeight="1">
      <c r="A50" s="181" t="s">
        <v>21</v>
      </c>
      <c r="B50" s="351">
        <f ca="1">+B49*C50</f>
        <v>2.4238442517688181</v>
      </c>
      <c r="C50" s="351">
        <f t="shared" ref="C50:I50" ca="1" si="2">+C49*D50</f>
        <v>1.6041325292976958</v>
      </c>
      <c r="D50" s="351">
        <f t="shared" ca="1" si="2"/>
        <v>1.3722262868243762</v>
      </c>
      <c r="E50" s="351">
        <f t="shared" ca="1" si="2"/>
        <v>1.265891408509572</v>
      </c>
      <c r="F50" s="351">
        <f t="shared" ca="1" si="2"/>
        <v>1.2137022133361191</v>
      </c>
      <c r="G50" s="351">
        <f t="shared" ca="1" si="2"/>
        <v>1.1794968059631867</v>
      </c>
      <c r="H50" s="351">
        <f t="shared" ca="1" si="2"/>
        <v>1.1689760217672813</v>
      </c>
      <c r="I50" s="351">
        <f t="shared" ca="1" si="2"/>
        <v>1.1631602206639617</v>
      </c>
      <c r="J50" s="351">
        <f ca="1">+K50*J49*AVERAGE(K37:K39)</f>
        <v>1.1527851542754826</v>
      </c>
      <c r="K50" s="351">
        <f ca="1">K30</f>
        <v>1.2291336080050397</v>
      </c>
      <c r="L50" s="351">
        <f t="shared" ref="L50:V50" ca="1" si="3">L30</f>
        <v>1.2113668935660706</v>
      </c>
      <c r="M50" s="351">
        <f t="shared" ca="1" si="3"/>
        <v>1.1958212177355092</v>
      </c>
      <c r="N50" s="351">
        <f t="shared" ca="1" si="3"/>
        <v>1.1824204526059749</v>
      </c>
      <c r="O50" s="351">
        <f t="shared" ca="1" si="3"/>
        <v>1.1710998210029464</v>
      </c>
      <c r="P50" s="351">
        <f t="shared" ca="1" si="3"/>
        <v>1.1591222246812403</v>
      </c>
      <c r="Q50" s="351">
        <f t="shared" ca="1" si="3"/>
        <v>1.1491628136297822</v>
      </c>
      <c r="R50" s="351">
        <f t="shared" ca="1" si="3"/>
        <v>1.1400424738390698</v>
      </c>
      <c r="S50" s="351">
        <f t="shared" ca="1" si="3"/>
        <v>1.1317430249891496</v>
      </c>
      <c r="T50" s="351">
        <f t="shared" ca="1" si="3"/>
        <v>1.1242480380686917</v>
      </c>
      <c r="U50" s="351">
        <f t="shared" ca="1" si="3"/>
        <v>1.1175427813804093</v>
      </c>
      <c r="V50" s="351">
        <f t="shared" ca="1" si="3"/>
        <v>1.111245722287447</v>
      </c>
      <c r="W50" s="343"/>
    </row>
    <row r="51" spans="1:23" s="141" customFormat="1" ht="12" customHeight="1">
      <c r="A51" s="181"/>
      <c r="B51" s="193"/>
      <c r="C51" s="193"/>
      <c r="D51" s="193"/>
      <c r="E51" s="193"/>
      <c r="F51" s="193"/>
      <c r="G51" s="193"/>
      <c r="H51" s="193"/>
      <c r="I51" s="193"/>
      <c r="J51" s="193"/>
      <c r="K51" s="193"/>
      <c r="L51" s="193"/>
      <c r="M51" s="193"/>
      <c r="N51" s="193"/>
      <c r="O51" s="193"/>
      <c r="P51" s="193"/>
      <c r="Q51" s="193"/>
      <c r="R51" s="193"/>
      <c r="S51" s="193"/>
      <c r="T51" s="193"/>
      <c r="U51" s="193"/>
      <c r="V51" s="193"/>
      <c r="W51" s="343"/>
    </row>
    <row r="52" spans="1:23">
      <c r="A52" s="15" t="s">
        <v>356</v>
      </c>
      <c r="B52" s="433" t="s">
        <v>229</v>
      </c>
      <c r="C52" s="433"/>
      <c r="D52" s="433"/>
      <c r="E52" s="433"/>
      <c r="F52" s="433"/>
      <c r="G52" s="433"/>
      <c r="H52" s="433"/>
      <c r="I52" s="433"/>
      <c r="J52" s="433"/>
      <c r="K52" s="433"/>
      <c r="L52" s="433"/>
      <c r="M52" s="433"/>
      <c r="N52" s="433"/>
      <c r="O52" s="433"/>
      <c r="P52" s="433"/>
      <c r="Q52" s="433"/>
      <c r="R52" s="433"/>
      <c r="S52" s="433"/>
      <c r="T52" s="312"/>
      <c r="U52" s="312"/>
      <c r="V52" s="312"/>
      <c r="W52" s="283"/>
    </row>
    <row r="53" spans="1:23" ht="26.1" customHeight="1">
      <c r="A53" s="15" t="s">
        <v>357</v>
      </c>
      <c r="B53" s="432" t="s">
        <v>329</v>
      </c>
      <c r="C53" s="432"/>
      <c r="D53" s="432"/>
      <c r="E53" s="432"/>
      <c r="F53" s="432"/>
      <c r="G53" s="432"/>
      <c r="H53" s="432"/>
      <c r="I53" s="432"/>
      <c r="J53" s="432"/>
      <c r="K53" s="432"/>
      <c r="L53" s="432"/>
      <c r="M53" s="432"/>
      <c r="N53" s="432"/>
      <c r="O53" s="432"/>
      <c r="P53" s="432"/>
      <c r="Q53" s="432"/>
      <c r="R53" s="432"/>
      <c r="S53" s="432"/>
      <c r="T53" s="432"/>
      <c r="U53" s="432"/>
      <c r="V53" s="432"/>
      <c r="W53" s="283"/>
    </row>
    <row r="54" spans="1:23" ht="12.75" customHeight="1">
      <c r="A54" s="15" t="s">
        <v>320</v>
      </c>
      <c r="B54" s="432" t="s">
        <v>418</v>
      </c>
      <c r="C54" s="432"/>
      <c r="D54" s="432"/>
      <c r="E54" s="432"/>
      <c r="F54" s="432"/>
      <c r="G54" s="432"/>
      <c r="H54" s="432"/>
      <c r="I54" s="432"/>
      <c r="J54" s="432"/>
      <c r="K54" s="432"/>
      <c r="L54" s="432"/>
      <c r="M54" s="432"/>
      <c r="N54" s="432"/>
      <c r="O54" s="432"/>
      <c r="P54" s="432"/>
      <c r="Q54" s="432"/>
      <c r="R54" s="432"/>
      <c r="S54" s="432"/>
      <c r="T54" s="432"/>
      <c r="U54" s="432"/>
      <c r="V54" s="432"/>
      <c r="W54" s="283"/>
    </row>
    <row r="55" spans="1:23" s="65" customFormat="1" ht="12.75" customHeight="1">
      <c r="A55" s="15" t="s">
        <v>358</v>
      </c>
      <c r="B55" s="199" t="s">
        <v>411</v>
      </c>
      <c r="C55" s="70"/>
      <c r="D55" s="70"/>
      <c r="E55" s="70"/>
      <c r="F55" s="70"/>
      <c r="G55" s="70"/>
      <c r="H55" s="70"/>
      <c r="I55" s="70"/>
      <c r="J55" s="70"/>
      <c r="K55" s="70"/>
      <c r="L55" s="70"/>
      <c r="M55" s="70"/>
      <c r="N55" s="70"/>
      <c r="O55" s="70"/>
      <c r="P55" s="70"/>
      <c r="Q55" s="70"/>
      <c r="R55" s="70"/>
      <c r="S55" s="70"/>
      <c r="T55" s="70"/>
      <c r="U55" s="70"/>
      <c r="V55" s="70"/>
      <c r="W55" s="283"/>
    </row>
    <row r="56" spans="1:23" ht="12.75" customHeight="1">
      <c r="A56" s="15" t="s">
        <v>364</v>
      </c>
      <c r="B56" s="199" t="s">
        <v>372</v>
      </c>
      <c r="C56" s="183"/>
      <c r="D56" s="183"/>
      <c r="E56" s="183"/>
      <c r="F56" s="183"/>
      <c r="G56" s="183"/>
      <c r="H56" s="283"/>
      <c r="I56" s="283"/>
      <c r="J56" s="283"/>
      <c r="K56" s="283"/>
      <c r="L56" s="283"/>
      <c r="M56" s="283"/>
      <c r="N56" s="283"/>
      <c r="O56" s="283"/>
      <c r="P56" s="283"/>
      <c r="Q56" s="283"/>
      <c r="R56" s="283"/>
      <c r="S56" s="283"/>
      <c r="T56" s="283"/>
      <c r="U56" s="283"/>
      <c r="V56" s="283"/>
      <c r="W56" s="283"/>
    </row>
    <row r="57" spans="1:23">
      <c r="A57" s="281"/>
      <c r="B57" s="183"/>
      <c r="C57" s="183"/>
      <c r="D57" s="183"/>
      <c r="E57" s="183"/>
      <c r="F57" s="183"/>
      <c r="G57" s="183"/>
      <c r="H57" s="283"/>
      <c r="I57" s="283"/>
      <c r="J57" s="283"/>
      <c r="K57" s="283"/>
      <c r="L57" s="283"/>
      <c r="M57" s="283"/>
      <c r="N57" s="283"/>
      <c r="O57" s="283"/>
      <c r="P57" s="283"/>
      <c r="Q57" s="283"/>
      <c r="R57" s="283"/>
      <c r="S57" s="283"/>
      <c r="T57" s="283"/>
      <c r="U57" s="283"/>
      <c r="V57" s="283"/>
      <c r="W57" s="283"/>
    </row>
    <row r="58" spans="1:23">
      <c r="A58" s="281"/>
      <c r="B58" s="281"/>
      <c r="C58" s="281"/>
      <c r="D58" s="281"/>
      <c r="E58" s="281"/>
      <c r="F58" s="281"/>
      <c r="G58" s="281"/>
      <c r="H58" s="283"/>
      <c r="I58" s="283"/>
      <c r="J58" s="283"/>
      <c r="K58" s="283"/>
      <c r="L58" s="283"/>
      <c r="M58" s="283"/>
      <c r="N58" s="283"/>
      <c r="O58" s="283"/>
      <c r="P58" s="283"/>
      <c r="Q58" s="283"/>
      <c r="R58" s="283"/>
      <c r="S58" s="283"/>
      <c r="T58" s="283"/>
      <c r="U58" s="283"/>
      <c r="V58" s="283"/>
      <c r="W58" s="283"/>
    </row>
    <row r="59" spans="1:23">
      <c r="A59" s="168"/>
      <c r="B59" s="168"/>
      <c r="C59" s="283"/>
      <c r="D59" s="283"/>
      <c r="E59" s="283"/>
      <c r="F59" s="283"/>
      <c r="G59" s="283"/>
      <c r="H59" s="283"/>
      <c r="I59" s="283"/>
      <c r="J59" s="283"/>
      <c r="K59" s="283"/>
      <c r="L59" s="283"/>
      <c r="M59" s="283"/>
      <c r="N59" s="283"/>
      <c r="O59" s="283"/>
      <c r="P59" s="283"/>
      <c r="Q59" s="283"/>
      <c r="R59" s="283"/>
      <c r="S59" s="283"/>
      <c r="T59" s="283"/>
      <c r="U59" s="283"/>
      <c r="V59" s="283"/>
      <c r="W59" s="283"/>
    </row>
    <row r="60" spans="1:23">
      <c r="A60" s="3"/>
      <c r="B60" s="169"/>
      <c r="C60" s="169"/>
      <c r="D60" s="169"/>
      <c r="E60" s="169"/>
      <c r="F60" s="169"/>
      <c r="G60" s="169"/>
      <c r="H60" s="283"/>
      <c r="I60" s="283"/>
      <c r="J60" s="283"/>
      <c r="K60" s="283"/>
      <c r="L60" s="283"/>
      <c r="M60" s="283"/>
      <c r="N60" s="283"/>
      <c r="O60" s="283"/>
      <c r="P60" s="283"/>
      <c r="Q60" s="283"/>
      <c r="R60" s="283"/>
      <c r="S60" s="283"/>
      <c r="T60" s="283"/>
      <c r="U60" s="283"/>
      <c r="V60" s="283"/>
      <c r="W60" s="283"/>
    </row>
  </sheetData>
  <mergeCells count="3">
    <mergeCell ref="B54:V54"/>
    <mergeCell ref="B52:S52"/>
    <mergeCell ref="B53:V53"/>
  </mergeCells>
  <printOptions horizontalCentered="1"/>
  <pageMargins left="0.7" right="0.7" top="0.75" bottom="0.75" header="0.3" footer="0.3"/>
  <pageSetup scale="66" orientation="landscape" blackAndWhite="1"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S32"/>
  <sheetViews>
    <sheetView zoomScaleNormal="100" zoomScaleSheetLayoutView="100" workbookViewId="0"/>
  </sheetViews>
  <sheetFormatPr defaultColWidth="9.140625" defaultRowHeight="12.75"/>
  <cols>
    <col min="1" max="1" width="13.5703125" style="77" bestFit="1" customWidth="1"/>
    <col min="2" max="2" width="8.140625" style="77" customWidth="1"/>
    <col min="3" max="3" width="8.140625" style="182" customWidth="1"/>
    <col min="4" max="14" width="8.140625" style="77" customWidth="1"/>
    <col min="15" max="17" width="8.140625" style="199" customWidth="1"/>
    <col min="18" max="18" width="8.140625" style="77" customWidth="1"/>
    <col min="19" max="19" width="14.42578125" style="77" bestFit="1" customWidth="1"/>
    <col min="20" max="16384" width="9.140625" style="77"/>
  </cols>
  <sheetData>
    <row r="1" spans="1:19">
      <c r="A1" s="195" t="str">
        <f>+'Exhibit 2.6.1'!A1&amp;" (Continued)"</f>
        <v>Selected Medical Development Factors - Paid to Ultimate (Continued)</v>
      </c>
      <c r="B1" s="195"/>
      <c r="C1" s="195"/>
      <c r="D1" s="195"/>
      <c r="E1" s="195"/>
      <c r="F1" s="195"/>
      <c r="G1" s="195"/>
      <c r="H1" s="195"/>
      <c r="I1" s="195"/>
      <c r="J1" s="195"/>
      <c r="K1" s="195"/>
      <c r="L1" s="195"/>
      <c r="M1" s="195"/>
      <c r="N1" s="195"/>
      <c r="O1" s="195"/>
      <c r="P1" s="195"/>
      <c r="Q1" s="195"/>
      <c r="R1" s="195"/>
      <c r="S1" s="195"/>
    </row>
    <row r="2" spans="1:19">
      <c r="A2" s="283"/>
      <c r="B2" s="196"/>
      <c r="C2" s="196"/>
      <c r="D2" s="196"/>
      <c r="E2" s="196"/>
      <c r="F2" s="196"/>
      <c r="G2" s="196"/>
      <c r="H2" s="196"/>
      <c r="I2" s="196"/>
      <c r="J2" s="196"/>
      <c r="K2" s="196"/>
      <c r="L2" s="196"/>
      <c r="M2" s="183"/>
      <c r="N2" s="196"/>
      <c r="O2" s="196"/>
      <c r="P2" s="196"/>
      <c r="Q2" s="196"/>
      <c r="R2" s="196"/>
      <c r="S2" s="196"/>
    </row>
    <row r="3" spans="1:19">
      <c r="A3" s="283"/>
      <c r="B3" s="190" t="s">
        <v>18</v>
      </c>
      <c r="C3" s="190"/>
      <c r="D3" s="190"/>
      <c r="E3" s="190"/>
      <c r="F3" s="190"/>
      <c r="G3" s="190"/>
      <c r="H3" s="190"/>
      <c r="I3" s="190"/>
      <c r="J3" s="190"/>
      <c r="K3" s="190"/>
      <c r="L3" s="190"/>
      <c r="M3" s="190"/>
      <c r="N3" s="190"/>
      <c r="O3" s="190"/>
      <c r="P3" s="190"/>
      <c r="Q3" s="190"/>
      <c r="R3" s="190"/>
      <c r="S3" s="190"/>
    </row>
    <row r="4" spans="1:19">
      <c r="A4" s="184" t="s">
        <v>19</v>
      </c>
      <c r="B4" s="184" t="s">
        <v>444</v>
      </c>
      <c r="C4" s="184" t="s">
        <v>445</v>
      </c>
      <c r="D4" s="184" t="s">
        <v>446</v>
      </c>
      <c r="E4" s="184" t="s">
        <v>447</v>
      </c>
      <c r="F4" s="184" t="s">
        <v>448</v>
      </c>
      <c r="G4" s="184" t="s">
        <v>449</v>
      </c>
      <c r="H4" s="184" t="s">
        <v>450</v>
      </c>
      <c r="I4" s="184" t="s">
        <v>451</v>
      </c>
      <c r="J4" s="184" t="s">
        <v>452</v>
      </c>
      <c r="K4" s="184" t="s">
        <v>453</v>
      </c>
      <c r="L4" s="184" t="s">
        <v>454</v>
      </c>
      <c r="M4" s="184" t="s">
        <v>455</v>
      </c>
      <c r="N4" s="184" t="s">
        <v>456</v>
      </c>
      <c r="O4" s="184" t="s">
        <v>457</v>
      </c>
      <c r="P4" s="184" t="s">
        <v>458</v>
      </c>
      <c r="Q4" s="184" t="s">
        <v>459</v>
      </c>
      <c r="R4" s="184" t="s">
        <v>460</v>
      </c>
      <c r="S4" s="184" t="s">
        <v>461</v>
      </c>
    </row>
    <row r="5" spans="1:19">
      <c r="A5" s="181">
        <v>1983</v>
      </c>
      <c r="B5" s="350"/>
      <c r="C5" s="350"/>
      <c r="D5" s="350"/>
      <c r="E5" s="350"/>
      <c r="F5" s="350"/>
      <c r="G5" s="350"/>
      <c r="H5" s="350"/>
      <c r="I5" s="350"/>
      <c r="J5" s="350"/>
      <c r="K5" s="350"/>
      <c r="L5" s="350"/>
      <c r="M5" s="350"/>
      <c r="N5" s="350"/>
      <c r="O5" s="350"/>
      <c r="P5" s="350"/>
      <c r="Q5" s="350"/>
      <c r="R5" s="350">
        <v>1.002</v>
      </c>
      <c r="S5" s="183"/>
    </row>
    <row r="6" spans="1:19" s="199" customFormat="1">
      <c r="A6" s="181">
        <v>1984</v>
      </c>
      <c r="B6" s="350"/>
      <c r="C6" s="350"/>
      <c r="D6" s="350"/>
      <c r="E6" s="350"/>
      <c r="F6" s="350"/>
      <c r="G6" s="350"/>
      <c r="H6" s="350"/>
      <c r="I6" s="350"/>
      <c r="J6" s="350"/>
      <c r="K6" s="350"/>
      <c r="L6" s="350"/>
      <c r="M6" s="350"/>
      <c r="N6" s="350"/>
      <c r="O6" s="350"/>
      <c r="P6" s="350"/>
      <c r="Q6" s="350">
        <v>1.0009999999999999</v>
      </c>
      <c r="R6" s="350">
        <v>1.0009999999999999</v>
      </c>
      <c r="S6" s="183"/>
    </row>
    <row r="7" spans="1:19" s="199" customFormat="1">
      <c r="A7" s="181">
        <v>1985</v>
      </c>
      <c r="B7" s="350"/>
      <c r="C7" s="350"/>
      <c r="D7" s="350"/>
      <c r="E7" s="350"/>
      <c r="F7" s="350"/>
      <c r="G7" s="350"/>
      <c r="H7" s="350"/>
      <c r="I7" s="350"/>
      <c r="J7" s="350"/>
      <c r="K7" s="350"/>
      <c r="L7" s="350"/>
      <c r="M7" s="350"/>
      <c r="N7" s="350"/>
      <c r="O7" s="350"/>
      <c r="P7" s="350">
        <v>1.0009999999999999</v>
      </c>
      <c r="Q7" s="350">
        <v>1.002</v>
      </c>
      <c r="R7" s="350">
        <v>1.0029999999999999</v>
      </c>
      <c r="S7" s="183"/>
    </row>
    <row r="8" spans="1:19" s="145" customFormat="1">
      <c r="A8" s="181">
        <v>1986</v>
      </c>
      <c r="B8" s="350"/>
      <c r="C8" s="350"/>
      <c r="D8" s="350"/>
      <c r="E8" s="350"/>
      <c r="F8" s="350"/>
      <c r="G8" s="350"/>
      <c r="H8" s="350"/>
      <c r="I8" s="350"/>
      <c r="J8" s="350"/>
      <c r="K8" s="350"/>
      <c r="L8" s="350"/>
      <c r="M8" s="350"/>
      <c r="N8" s="350"/>
      <c r="O8" s="350">
        <v>1.0009999999999999</v>
      </c>
      <c r="P8" s="350">
        <v>1.002</v>
      </c>
      <c r="Q8" s="350">
        <v>1.002</v>
      </c>
      <c r="R8" s="350" t="s">
        <v>31</v>
      </c>
      <c r="S8" s="183"/>
    </row>
    <row r="9" spans="1:19">
      <c r="A9" s="181">
        <v>1987</v>
      </c>
      <c r="B9" s="350"/>
      <c r="C9" s="350"/>
      <c r="D9" s="350"/>
      <c r="E9" s="350"/>
      <c r="F9" s="350"/>
      <c r="G9" s="350"/>
      <c r="H9" s="350"/>
      <c r="I9" s="350"/>
      <c r="J9" s="350"/>
      <c r="K9" s="350"/>
      <c r="L9" s="350"/>
      <c r="M9" s="350"/>
      <c r="N9" s="350">
        <v>1.0029999999999999</v>
      </c>
      <c r="O9" s="350">
        <v>1.0029999999999999</v>
      </c>
      <c r="P9" s="350">
        <v>1.002</v>
      </c>
      <c r="Q9" s="350"/>
      <c r="R9" s="350" t="s">
        <v>31</v>
      </c>
      <c r="S9" s="183"/>
    </row>
    <row r="10" spans="1:19">
      <c r="A10" s="181">
        <v>1988</v>
      </c>
      <c r="B10" s="350"/>
      <c r="C10" s="350"/>
      <c r="D10" s="350"/>
      <c r="E10" s="350"/>
      <c r="F10" s="350"/>
      <c r="G10" s="350"/>
      <c r="H10" s="350"/>
      <c r="I10" s="350"/>
      <c r="J10" s="350"/>
      <c r="K10" s="350"/>
      <c r="L10" s="350"/>
      <c r="M10" s="350">
        <v>1.0029999999999999</v>
      </c>
      <c r="N10" s="350">
        <v>1.0029999999999999</v>
      </c>
      <c r="O10" s="350">
        <v>1.002</v>
      </c>
      <c r="P10" s="350" t="s">
        <v>31</v>
      </c>
      <c r="Q10" s="350"/>
      <c r="R10" s="350" t="s">
        <v>31</v>
      </c>
      <c r="S10" s="183"/>
    </row>
    <row r="11" spans="1:19">
      <c r="A11" s="181">
        <v>1989</v>
      </c>
      <c r="B11" s="350"/>
      <c r="C11" s="350"/>
      <c r="D11" s="350"/>
      <c r="E11" s="350"/>
      <c r="F11" s="350"/>
      <c r="G11" s="350"/>
      <c r="H11" s="350"/>
      <c r="I11" s="350"/>
      <c r="J11" s="350"/>
      <c r="K11" s="350"/>
      <c r="L11" s="350">
        <v>1.002</v>
      </c>
      <c r="M11" s="350">
        <v>1.002</v>
      </c>
      <c r="N11" s="350">
        <v>1.002</v>
      </c>
      <c r="O11" s="350" t="s">
        <v>31</v>
      </c>
      <c r="P11" s="350" t="s">
        <v>31</v>
      </c>
      <c r="Q11" s="350"/>
      <c r="R11" s="350" t="s">
        <v>31</v>
      </c>
      <c r="S11" s="183"/>
    </row>
    <row r="12" spans="1:19">
      <c r="A12" s="181">
        <v>1990</v>
      </c>
      <c r="B12" s="350"/>
      <c r="C12" s="350"/>
      <c r="D12" s="350"/>
      <c r="E12" s="350"/>
      <c r="F12" s="350"/>
      <c r="G12" s="350"/>
      <c r="H12" s="350"/>
      <c r="I12" s="350"/>
      <c r="J12" s="350"/>
      <c r="K12" s="350">
        <v>1.0029999999999999</v>
      </c>
      <c r="L12" s="350">
        <v>1.0009999999999999</v>
      </c>
      <c r="M12" s="350">
        <v>1.0029999999999999</v>
      </c>
      <c r="N12" s="350" t="s">
        <v>31</v>
      </c>
      <c r="O12" s="350" t="s">
        <v>31</v>
      </c>
      <c r="P12" s="350" t="s">
        <v>31</v>
      </c>
      <c r="Q12" s="350"/>
      <c r="R12" s="350" t="s">
        <v>31</v>
      </c>
      <c r="S12" s="183"/>
    </row>
    <row r="13" spans="1:19">
      <c r="A13" s="181">
        <v>1991</v>
      </c>
      <c r="B13" s="350"/>
      <c r="C13" s="350"/>
      <c r="D13" s="350"/>
      <c r="E13" s="350"/>
      <c r="F13" s="350"/>
      <c r="G13" s="350"/>
      <c r="H13" s="350"/>
      <c r="I13" s="350"/>
      <c r="J13" s="350">
        <v>1.002</v>
      </c>
      <c r="K13" s="350">
        <v>1.0029999999999999</v>
      </c>
      <c r="L13" s="350">
        <v>1.002</v>
      </c>
      <c r="M13" s="350" t="s">
        <v>31</v>
      </c>
      <c r="N13" s="350" t="s">
        <v>31</v>
      </c>
      <c r="O13" s="350" t="s">
        <v>31</v>
      </c>
      <c r="P13" s="350" t="s">
        <v>31</v>
      </c>
      <c r="Q13" s="350"/>
      <c r="R13" s="350" t="s">
        <v>31</v>
      </c>
      <c r="S13" s="183"/>
    </row>
    <row r="14" spans="1:19">
      <c r="A14" s="181">
        <v>1992</v>
      </c>
      <c r="B14" s="350"/>
      <c r="C14" s="350"/>
      <c r="D14" s="350"/>
      <c r="E14" s="350"/>
      <c r="F14" s="350"/>
      <c r="G14" s="350"/>
      <c r="H14" s="350"/>
      <c r="I14" s="350">
        <v>1.0029999999999999</v>
      </c>
      <c r="J14" s="350">
        <v>1.002</v>
      </c>
      <c r="K14" s="350">
        <v>1.0029999999999999</v>
      </c>
      <c r="L14" s="350" t="s">
        <v>31</v>
      </c>
      <c r="M14" s="350" t="s">
        <v>31</v>
      </c>
      <c r="N14" s="350" t="s">
        <v>31</v>
      </c>
      <c r="O14" s="350" t="s">
        <v>31</v>
      </c>
      <c r="P14" s="350" t="s">
        <v>31</v>
      </c>
      <c r="Q14" s="350"/>
      <c r="R14" s="350" t="s">
        <v>31</v>
      </c>
      <c r="S14" s="183"/>
    </row>
    <row r="15" spans="1:19">
      <c r="A15" s="181">
        <v>1993</v>
      </c>
      <c r="B15" s="350"/>
      <c r="C15" s="350"/>
      <c r="D15" s="350"/>
      <c r="E15" s="350"/>
      <c r="F15" s="350"/>
      <c r="G15" s="350"/>
      <c r="H15" s="350">
        <v>1.0029999999999999</v>
      </c>
      <c r="I15" s="350">
        <v>1.002</v>
      </c>
      <c r="J15" s="350">
        <v>1.002</v>
      </c>
      <c r="K15" s="350" t="s">
        <v>31</v>
      </c>
      <c r="L15" s="350" t="s">
        <v>31</v>
      </c>
      <c r="M15" s="350" t="s">
        <v>31</v>
      </c>
      <c r="N15" s="350" t="s">
        <v>31</v>
      </c>
      <c r="O15" s="350" t="s">
        <v>31</v>
      </c>
      <c r="P15" s="350" t="s">
        <v>31</v>
      </c>
      <c r="Q15" s="350"/>
      <c r="R15" s="350" t="s">
        <v>31</v>
      </c>
      <c r="S15" s="183"/>
    </row>
    <row r="16" spans="1:19">
      <c r="A16" s="181">
        <v>1994</v>
      </c>
      <c r="B16" s="350"/>
      <c r="C16" s="350"/>
      <c r="D16" s="350"/>
      <c r="E16" s="350"/>
      <c r="F16" s="350"/>
      <c r="G16" s="350">
        <v>1.004</v>
      </c>
      <c r="H16" s="350">
        <v>1.0049999999999999</v>
      </c>
      <c r="I16" s="350">
        <v>1.0029999999999999</v>
      </c>
      <c r="J16" s="350" t="s">
        <v>31</v>
      </c>
      <c r="K16" s="350" t="s">
        <v>31</v>
      </c>
      <c r="L16" s="350" t="s">
        <v>31</v>
      </c>
      <c r="M16" s="350" t="s">
        <v>31</v>
      </c>
      <c r="N16" s="350" t="s">
        <v>31</v>
      </c>
      <c r="O16" s="350" t="s">
        <v>31</v>
      </c>
      <c r="P16" s="350" t="s">
        <v>31</v>
      </c>
      <c r="Q16" s="350"/>
      <c r="R16" s="350" t="s">
        <v>31</v>
      </c>
      <c r="S16" s="183"/>
    </row>
    <row r="17" spans="1:19">
      <c r="A17" s="181">
        <v>1995</v>
      </c>
      <c r="B17" s="350"/>
      <c r="C17" s="350"/>
      <c r="D17" s="350"/>
      <c r="E17" s="350"/>
      <c r="F17" s="350">
        <v>1.006</v>
      </c>
      <c r="G17" s="350">
        <v>1.004</v>
      </c>
      <c r="H17" s="350">
        <v>1.004</v>
      </c>
      <c r="I17" s="350" t="s">
        <v>31</v>
      </c>
      <c r="J17" s="350" t="s">
        <v>31</v>
      </c>
      <c r="K17" s="350" t="s">
        <v>31</v>
      </c>
      <c r="L17" s="350" t="s">
        <v>31</v>
      </c>
      <c r="M17" s="350" t="s">
        <v>31</v>
      </c>
      <c r="N17" s="350" t="s">
        <v>31</v>
      </c>
      <c r="O17" s="350" t="s">
        <v>31</v>
      </c>
      <c r="P17" s="350" t="s">
        <v>31</v>
      </c>
      <c r="Q17" s="350"/>
      <c r="R17" s="350" t="s">
        <v>31</v>
      </c>
      <c r="S17" s="183"/>
    </row>
    <row r="18" spans="1:19">
      <c r="A18" s="181">
        <v>1996</v>
      </c>
      <c r="B18" s="350"/>
      <c r="C18" s="350"/>
      <c r="D18" s="350"/>
      <c r="E18" s="350">
        <v>1.0049999999999999</v>
      </c>
      <c r="F18" s="350">
        <v>1.006</v>
      </c>
      <c r="G18" s="350">
        <v>1.004</v>
      </c>
      <c r="H18" s="350" t="s">
        <v>31</v>
      </c>
      <c r="I18" s="350" t="s">
        <v>31</v>
      </c>
      <c r="J18" s="350" t="s">
        <v>31</v>
      </c>
      <c r="K18" s="350" t="s">
        <v>31</v>
      </c>
      <c r="L18" s="350" t="s">
        <v>31</v>
      </c>
      <c r="M18" s="350" t="s">
        <v>31</v>
      </c>
      <c r="N18" s="350" t="s">
        <v>31</v>
      </c>
      <c r="O18" s="350" t="s">
        <v>31</v>
      </c>
      <c r="P18" s="350" t="s">
        <v>31</v>
      </c>
      <c r="Q18" s="350"/>
      <c r="R18" s="350" t="s">
        <v>31</v>
      </c>
      <c r="S18" s="183"/>
    </row>
    <row r="19" spans="1:19">
      <c r="A19" s="181">
        <v>1997</v>
      </c>
      <c r="B19" s="350"/>
      <c r="C19" s="350"/>
      <c r="D19" s="350">
        <v>1.0049999999999999</v>
      </c>
      <c r="E19" s="350">
        <v>1.004</v>
      </c>
      <c r="F19" s="350">
        <v>1.004</v>
      </c>
      <c r="G19" s="350" t="s">
        <v>31</v>
      </c>
      <c r="H19" s="350" t="s">
        <v>31</v>
      </c>
      <c r="I19" s="350" t="s">
        <v>31</v>
      </c>
      <c r="J19" s="350" t="s">
        <v>31</v>
      </c>
      <c r="K19" s="350" t="s">
        <v>31</v>
      </c>
      <c r="L19" s="350" t="s">
        <v>31</v>
      </c>
      <c r="M19" s="350" t="s">
        <v>31</v>
      </c>
      <c r="N19" s="350" t="s">
        <v>31</v>
      </c>
      <c r="O19" s="350" t="s">
        <v>31</v>
      </c>
      <c r="P19" s="350" t="s">
        <v>31</v>
      </c>
      <c r="Q19" s="350"/>
      <c r="R19" s="350" t="s">
        <v>31</v>
      </c>
      <c r="S19" s="183"/>
    </row>
    <row r="20" spans="1:19">
      <c r="A20" s="181">
        <v>1998</v>
      </c>
      <c r="B20" s="350"/>
      <c r="C20" s="350">
        <v>1.006</v>
      </c>
      <c r="D20" s="350">
        <v>1.006</v>
      </c>
      <c r="E20" s="350">
        <v>1.0069999999999999</v>
      </c>
      <c r="F20" s="350" t="s">
        <v>31</v>
      </c>
      <c r="G20" s="350" t="s">
        <v>31</v>
      </c>
      <c r="H20" s="350" t="s">
        <v>31</v>
      </c>
      <c r="I20" s="350" t="s">
        <v>31</v>
      </c>
      <c r="J20" s="350" t="s">
        <v>31</v>
      </c>
      <c r="K20" s="350" t="s">
        <v>31</v>
      </c>
      <c r="L20" s="350" t="s">
        <v>31</v>
      </c>
      <c r="M20" s="350" t="s">
        <v>31</v>
      </c>
      <c r="N20" s="350" t="s">
        <v>31</v>
      </c>
      <c r="O20" s="350" t="s">
        <v>31</v>
      </c>
      <c r="P20" s="350" t="s">
        <v>31</v>
      </c>
      <c r="Q20" s="350"/>
      <c r="R20" s="350" t="s">
        <v>31</v>
      </c>
      <c r="S20" s="183"/>
    </row>
    <row r="21" spans="1:19" s="199" customFormat="1">
      <c r="A21" s="181">
        <v>1999</v>
      </c>
      <c r="B21" s="350">
        <v>1.006</v>
      </c>
      <c r="C21" s="350">
        <v>1.004</v>
      </c>
      <c r="D21" s="350">
        <v>1.004</v>
      </c>
      <c r="E21" s="350"/>
      <c r="F21" s="350"/>
      <c r="G21" s="350"/>
      <c r="H21" s="350"/>
      <c r="I21" s="350"/>
      <c r="J21" s="350"/>
      <c r="K21" s="350"/>
      <c r="L21" s="350"/>
      <c r="M21" s="350"/>
      <c r="N21" s="350"/>
      <c r="O21" s="350"/>
      <c r="P21" s="350"/>
      <c r="Q21" s="350"/>
      <c r="R21" s="350"/>
      <c r="S21" s="183"/>
    </row>
    <row r="22" spans="1:19">
      <c r="A22" s="181">
        <v>2000</v>
      </c>
      <c r="B22" s="350">
        <v>1.004</v>
      </c>
      <c r="C22" s="350">
        <v>1.004</v>
      </c>
      <c r="D22" s="350" t="s">
        <v>31</v>
      </c>
      <c r="E22" s="350" t="s">
        <v>31</v>
      </c>
      <c r="F22" s="350" t="s">
        <v>31</v>
      </c>
      <c r="G22" s="350" t="s">
        <v>31</v>
      </c>
      <c r="H22" s="350" t="s">
        <v>31</v>
      </c>
      <c r="I22" s="350" t="s">
        <v>31</v>
      </c>
      <c r="J22" s="350" t="s">
        <v>31</v>
      </c>
      <c r="K22" s="350" t="s">
        <v>31</v>
      </c>
      <c r="L22" s="350" t="s">
        <v>31</v>
      </c>
      <c r="M22" s="350" t="s">
        <v>31</v>
      </c>
      <c r="N22" s="350" t="s">
        <v>31</v>
      </c>
      <c r="O22" s="350" t="s">
        <v>31</v>
      </c>
      <c r="P22" s="350" t="s">
        <v>31</v>
      </c>
      <c r="Q22" s="350"/>
      <c r="R22" s="350" t="s">
        <v>31</v>
      </c>
      <c r="S22" s="183"/>
    </row>
    <row r="23" spans="1:19">
      <c r="A23" s="181">
        <v>2001</v>
      </c>
      <c r="B23" s="350">
        <v>1.0049999999999999</v>
      </c>
      <c r="C23" s="350" t="s">
        <v>31</v>
      </c>
      <c r="D23" s="350" t="s">
        <v>31</v>
      </c>
      <c r="E23" s="350" t="s">
        <v>31</v>
      </c>
      <c r="F23" s="350" t="s">
        <v>31</v>
      </c>
      <c r="G23" s="350" t="s">
        <v>31</v>
      </c>
      <c r="H23" s="350" t="s">
        <v>31</v>
      </c>
      <c r="I23" s="350" t="s">
        <v>31</v>
      </c>
      <c r="J23" s="350" t="s">
        <v>31</v>
      </c>
      <c r="K23" s="350" t="s">
        <v>31</v>
      </c>
      <c r="L23" s="350" t="s">
        <v>31</v>
      </c>
      <c r="M23" s="350" t="s">
        <v>31</v>
      </c>
      <c r="N23" s="350" t="s">
        <v>31</v>
      </c>
      <c r="O23" s="350" t="s">
        <v>31</v>
      </c>
      <c r="P23" s="350" t="s">
        <v>31</v>
      </c>
      <c r="Q23" s="350"/>
      <c r="R23" s="350" t="s">
        <v>31</v>
      </c>
      <c r="S23" s="183"/>
    </row>
    <row r="24" spans="1:19">
      <c r="A24" s="181"/>
      <c r="B24" s="183"/>
      <c r="C24" s="183"/>
      <c r="D24" s="183"/>
      <c r="E24" s="183"/>
      <c r="F24" s="183"/>
      <c r="G24" s="183"/>
      <c r="H24" s="183"/>
      <c r="I24" s="183"/>
      <c r="J24" s="183"/>
      <c r="K24" s="183"/>
      <c r="L24" s="183"/>
      <c r="M24" s="183"/>
      <c r="N24" s="183"/>
      <c r="O24" s="183"/>
      <c r="P24" s="183"/>
      <c r="Q24" s="183"/>
      <c r="R24" s="183"/>
      <c r="S24" s="183"/>
    </row>
    <row r="25" spans="1:19">
      <c r="A25" s="11"/>
      <c r="B25" s="183"/>
      <c r="C25" s="183"/>
      <c r="D25" s="183"/>
      <c r="E25" s="183"/>
      <c r="F25" s="183"/>
      <c r="G25" s="183"/>
      <c r="H25" s="183"/>
      <c r="I25" s="183"/>
      <c r="J25" s="183"/>
      <c r="K25" s="183"/>
      <c r="L25" s="183"/>
      <c r="M25" s="183"/>
      <c r="N25" s="183"/>
      <c r="O25" s="183"/>
      <c r="P25" s="183"/>
      <c r="Q25" s="183"/>
      <c r="R25" s="183"/>
      <c r="S25" s="183"/>
    </row>
    <row r="26" spans="1:19" s="150" customFormat="1">
      <c r="A26" s="181" t="s">
        <v>281</v>
      </c>
      <c r="B26" s="351">
        <f ca="1">AVERAGE(OFFSET(B$22:B$24,-COUNTA($B$4:B$4),0))</f>
        <v>1.0049999999999999</v>
      </c>
      <c r="C26" s="351">
        <f ca="1">AVERAGE(OFFSET(C$22:C$24,-COUNTA($B$4:C$4),0))</f>
        <v>1.0046666666666666</v>
      </c>
      <c r="D26" s="351">
        <f ca="1">AVERAGE(OFFSET(D$22:D$24,-COUNTA($B$4:D$4),0))</f>
        <v>1.0050000000000001</v>
      </c>
      <c r="E26" s="351">
        <f ca="1">AVERAGE(OFFSET(E$22:E$24,-COUNTA($B$4:E$4),0))</f>
        <v>1.0053333333333334</v>
      </c>
      <c r="F26" s="351">
        <f ca="1">AVERAGE(OFFSET(F$22:F$24,-COUNTA($B$4:F$4),0))</f>
        <v>1.0053333333333334</v>
      </c>
      <c r="G26" s="351">
        <f ca="1">AVERAGE(OFFSET(G$22:G$24,-COUNTA($B$4:G$4),0))</f>
        <v>1.004</v>
      </c>
      <c r="H26" s="351">
        <f ca="1">AVERAGE(OFFSET(H$22:H$24,-COUNTA($B$4:H$4),0))</f>
        <v>1.004</v>
      </c>
      <c r="I26" s="351">
        <f ca="1">AVERAGE(OFFSET(I$22:I$24,-COUNTA($B$4:I$4),0))</f>
        <v>1.0026666666666666</v>
      </c>
      <c r="J26" s="351">
        <f ca="1">AVERAGE(OFFSET(J$22:J$24,-COUNTA($B$4:J$4),0))</f>
        <v>1.002</v>
      </c>
      <c r="K26" s="351">
        <f ca="1">AVERAGE(OFFSET(K$22:K$24,-COUNTA($B$4:K$4),0))</f>
        <v>1.0029999999999999</v>
      </c>
      <c r="L26" s="351">
        <f ca="1">AVERAGE(OFFSET(L$22:L$24,-COUNTA($B$4:L$4),0))</f>
        <v>1.0016666666666667</v>
      </c>
      <c r="M26" s="351">
        <f ca="1">AVERAGE(OFFSET(M$22:M$24,-COUNTA($B$4:M$4),0))</f>
        <v>1.0026666666666666</v>
      </c>
      <c r="N26" s="351">
        <f ca="1">AVERAGE(OFFSET(N$22:N$24,-COUNTA($B$4:N$4),0))</f>
        <v>1.0026666666666666</v>
      </c>
      <c r="O26" s="351">
        <f ca="1">AVERAGE(OFFSET(O$22:O$24,-COUNTA($B$4:O$4),0))</f>
        <v>1.0019999999999998</v>
      </c>
      <c r="P26" s="351">
        <f ca="1">AVERAGE(OFFSET(P$22:P$24,-COUNTA($B$4:P$4),0))</f>
        <v>1.0016666666666667</v>
      </c>
      <c r="Q26" s="351">
        <f ca="1">AVERAGE(OFFSET(Q$22:Q$24,-COUNTA($B$4:Q$4),0))</f>
        <v>1.0016666666666667</v>
      </c>
      <c r="R26" s="351">
        <f ca="1">AVERAGE(OFFSET(R$22:R$24,-COUNTA($B$4:R$4),0))</f>
        <v>1.002</v>
      </c>
      <c r="S26" s="350">
        <v>1.0660000000000001</v>
      </c>
    </row>
    <row r="27" spans="1:19">
      <c r="A27" s="181" t="s">
        <v>388</v>
      </c>
      <c r="B27" s="351">
        <f ca="1">B26</f>
        <v>1.0049999999999999</v>
      </c>
      <c r="C27" s="351">
        <f t="shared" ref="C27:E27" ca="1" si="0">C26</f>
        <v>1.0046666666666666</v>
      </c>
      <c r="D27" s="351">
        <f t="shared" ca="1" si="0"/>
        <v>1.0050000000000001</v>
      </c>
      <c r="E27" s="351">
        <f t="shared" ca="1" si="0"/>
        <v>1.0053333333333334</v>
      </c>
      <c r="F27" s="350">
        <v>1.0044197323455955</v>
      </c>
      <c r="G27" s="350">
        <v>1.0033901507663119</v>
      </c>
      <c r="H27" s="350">
        <v>1.0034770549373906</v>
      </c>
      <c r="I27" s="350">
        <v>1.0024158357582715</v>
      </c>
      <c r="J27" s="350">
        <v>1.0019157987654361</v>
      </c>
      <c r="K27" s="350">
        <v>1.0030176080651863</v>
      </c>
      <c r="L27" s="350">
        <v>1.0017645169980909</v>
      </c>
      <c r="M27" s="350">
        <v>1.00298628855317</v>
      </c>
      <c r="N27" s="350">
        <v>1.0030442291470931</v>
      </c>
      <c r="O27" s="350">
        <v>1.0021343581340802</v>
      </c>
      <c r="P27" s="350">
        <v>1.0021077706899972</v>
      </c>
      <c r="Q27" s="350">
        <v>1.0021077706899972</v>
      </c>
      <c r="R27" s="350">
        <v>1.0017564755749975</v>
      </c>
      <c r="S27" s="183">
        <f>S28</f>
        <v>1.0474806231628977</v>
      </c>
    </row>
    <row r="28" spans="1:19">
      <c r="A28" s="181" t="s">
        <v>21</v>
      </c>
      <c r="B28" s="351">
        <f t="shared" ref="B28" ca="1" si="1">B27*C28</f>
        <v>1.1060839969682619</v>
      </c>
      <c r="C28" s="351">
        <f t="shared" ref="C28" ca="1" si="2">C27*D28</f>
        <v>1.1005810915107084</v>
      </c>
      <c r="D28" s="351">
        <f t="shared" ref="D28" ca="1" si="3">D27*E28</f>
        <v>1.0954689032953302</v>
      </c>
      <c r="E28" s="351">
        <f t="shared" ref="E28" ca="1" si="4">E27*F28</f>
        <v>1.0900188092490846</v>
      </c>
      <c r="F28" s="351">
        <f t="shared" ref="F28" si="5">F27*G28</f>
        <v>1.0842362160965695</v>
      </c>
      <c r="G28" s="351">
        <f t="shared" ref="G28" si="6">G27*H28</f>
        <v>1.0794652685332862</v>
      </c>
      <c r="H28" s="351">
        <f t="shared" ref="H28" si="7">H27*I28</f>
        <v>1.075818083034674</v>
      </c>
      <c r="I28" s="351">
        <f t="shared" ref="I28" si="8">I27*J28</f>
        <v>1.0720903659344727</v>
      </c>
      <c r="J28" s="351">
        <f t="shared" ref="J28" si="9">J27*K28</f>
        <v>1.0695066136135971</v>
      </c>
      <c r="K28" s="351">
        <f t="shared" ref="K28" si="10">K27*L28</f>
        <v>1.06746157205171</v>
      </c>
      <c r="L28" s="351">
        <f t="shared" ref="L28" si="11">L27*M28</f>
        <v>1.0642500824196255</v>
      </c>
      <c r="M28" s="351">
        <f t="shared" ref="M28" si="12">M27*N28</f>
        <v>1.0623755027866031</v>
      </c>
      <c r="N28" s="351">
        <f t="shared" ref="N28" si="13">N27*O28</f>
        <v>1.0592123889540936</v>
      </c>
      <c r="O28" s="351">
        <f t="shared" ref="O28" si="14">O27*P28</f>
        <v>1.0559976900069117</v>
      </c>
      <c r="P28" s="351">
        <f t="shared" ref="P28" si="15">P27*Q28</f>
        <v>1.0537486130833016</v>
      </c>
      <c r="Q28" s="351">
        <f t="shared" ref="Q28" si="16">Q27*R28</f>
        <v>1.0515322242813736</v>
      </c>
      <c r="R28" s="351">
        <f t="shared" ref="R28" si="17">R27*S28</f>
        <v>1.0493204972927666</v>
      </c>
      <c r="S28" s="350">
        <v>1.0474806231628977</v>
      </c>
    </row>
    <row r="29" spans="1:19">
      <c r="A29" s="283"/>
      <c r="B29" s="188"/>
      <c r="C29" s="188"/>
      <c r="D29" s="188"/>
      <c r="E29" s="188"/>
      <c r="F29" s="188"/>
      <c r="G29" s="188"/>
      <c r="H29" s="188"/>
      <c r="I29" s="188"/>
      <c r="J29" s="188"/>
      <c r="K29" s="188"/>
      <c r="L29" s="188"/>
      <c r="M29" s="188"/>
      <c r="N29" s="188"/>
      <c r="O29" s="188"/>
      <c r="P29" s="188"/>
      <c r="Q29" s="188"/>
      <c r="R29" s="188"/>
      <c r="S29" s="188"/>
    </row>
    <row r="30" spans="1:19" ht="12.75" customHeight="1">
      <c r="A30" s="3" t="s">
        <v>362</v>
      </c>
      <c r="B30" s="194" t="s">
        <v>419</v>
      </c>
      <c r="C30" s="194"/>
      <c r="D30" s="194"/>
      <c r="E30" s="194"/>
      <c r="F30" s="194"/>
      <c r="G30" s="194"/>
      <c r="H30" s="194"/>
      <c r="I30" s="194"/>
      <c r="J30" s="194"/>
      <c r="K30" s="194"/>
      <c r="L30" s="194"/>
      <c r="M30" s="194"/>
      <c r="N30" s="194"/>
      <c r="O30" s="194"/>
      <c r="P30" s="194"/>
      <c r="Q30" s="194"/>
      <c r="R30" s="194"/>
      <c r="S30" s="194"/>
    </row>
    <row r="31" spans="1:19" ht="12.75" customHeight="1">
      <c r="A31" s="15" t="s">
        <v>363</v>
      </c>
      <c r="B31" s="194" t="s">
        <v>414</v>
      </c>
      <c r="C31" s="286"/>
      <c r="D31" s="286"/>
      <c r="E31" s="286"/>
      <c r="F31" s="286"/>
      <c r="G31" s="286"/>
      <c r="H31" s="286"/>
      <c r="I31" s="286"/>
      <c r="J31" s="286"/>
      <c r="K31" s="286"/>
      <c r="L31" s="286"/>
      <c r="M31" s="286"/>
      <c r="N31" s="286"/>
      <c r="O31" s="322"/>
      <c r="P31" s="286"/>
      <c r="Q31" s="332"/>
      <c r="R31" s="286"/>
      <c r="S31" s="286"/>
    </row>
    <row r="32" spans="1:19">
      <c r="A32" s="15"/>
      <c r="B32" s="194"/>
      <c r="C32" s="281"/>
      <c r="D32" s="281"/>
      <c r="E32" s="281"/>
      <c r="F32" s="281"/>
      <c r="G32" s="281"/>
      <c r="H32" s="281"/>
      <c r="I32" s="281"/>
      <c r="J32" s="281"/>
      <c r="K32" s="281"/>
      <c r="L32" s="281"/>
      <c r="M32" s="281"/>
      <c r="N32" s="281"/>
      <c r="O32" s="323"/>
      <c r="P32" s="281"/>
      <c r="Q32" s="323"/>
      <c r="R32" s="281"/>
      <c r="S32" s="281"/>
    </row>
  </sheetData>
  <pageMargins left="0.7" right="0.7" top="0.75" bottom="0.75" header="0.3" footer="0.3"/>
  <pageSetup scale="73" orientation="landscape" blackAndWhite="1" horizontalDpi="1200" verticalDpi="1200"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I48"/>
  <sheetViews>
    <sheetView zoomScaleNormal="100" zoomScaleSheetLayoutView="115" workbookViewId="0">
      <selection sqref="A1:G1"/>
    </sheetView>
  </sheetViews>
  <sheetFormatPr defaultColWidth="9.140625" defaultRowHeight="12.75"/>
  <cols>
    <col min="1" max="1" width="8.5703125" style="53" customWidth="1"/>
    <col min="2" max="6" width="13.28515625" style="53" customWidth="1"/>
    <col min="7" max="7" width="8.5703125" style="53" customWidth="1"/>
    <col min="8" max="16384" width="9.140625" style="53"/>
  </cols>
  <sheetData>
    <row r="1" spans="1:9">
      <c r="A1" s="434" t="s">
        <v>373</v>
      </c>
      <c r="B1" s="434"/>
      <c r="C1" s="434"/>
      <c r="D1" s="434"/>
      <c r="E1" s="434"/>
      <c r="F1" s="434"/>
      <c r="G1" s="434"/>
      <c r="H1" s="54"/>
      <c r="I1" s="54"/>
    </row>
    <row r="2" spans="1:9">
      <c r="A2" s="54"/>
      <c r="B2" s="434" t="s">
        <v>492</v>
      </c>
      <c r="C2" s="434"/>
      <c r="D2" s="434"/>
      <c r="E2" s="434"/>
      <c r="F2" s="434"/>
      <c r="G2" s="54"/>
      <c r="H2" s="54"/>
      <c r="I2" s="54"/>
    </row>
    <row r="3" spans="1:9">
      <c r="A3" s="54"/>
      <c r="B3" s="28"/>
      <c r="C3" s="27"/>
      <c r="D3" s="27"/>
      <c r="E3" s="27"/>
      <c r="F3" s="27"/>
      <c r="G3" s="54"/>
      <c r="H3" s="54"/>
      <c r="I3" s="54"/>
    </row>
    <row r="4" spans="1:9">
      <c r="A4" s="54"/>
      <c r="B4" s="28"/>
      <c r="C4" s="28"/>
      <c r="D4" s="435" t="s">
        <v>37</v>
      </c>
      <c r="E4" s="435"/>
      <c r="F4" s="28"/>
      <c r="G4" s="54"/>
      <c r="H4" s="54"/>
      <c r="I4" s="54"/>
    </row>
    <row r="5" spans="1:9">
      <c r="A5" s="54"/>
      <c r="B5" s="30"/>
      <c r="C5" s="30"/>
      <c r="D5" s="30"/>
      <c r="E5" s="344"/>
      <c r="F5" s="30"/>
      <c r="G5" s="54"/>
      <c r="H5" s="54"/>
      <c r="I5" s="54"/>
    </row>
    <row r="6" spans="1:9">
      <c r="A6" s="54"/>
      <c r="B6" s="30"/>
      <c r="C6" s="29" t="s">
        <v>38</v>
      </c>
      <c r="D6" s="29" t="s">
        <v>39</v>
      </c>
      <c r="E6" s="29" t="s">
        <v>40</v>
      </c>
      <c r="F6" s="29" t="s">
        <v>41</v>
      </c>
      <c r="G6" s="54"/>
      <c r="H6" s="54"/>
      <c r="I6" s="54"/>
    </row>
    <row r="7" spans="1:9" ht="38.25" customHeight="1">
      <c r="A7" s="54"/>
      <c r="B7" s="163" t="s">
        <v>249</v>
      </c>
      <c r="C7" s="163" t="s">
        <v>277</v>
      </c>
      <c r="D7" s="30" t="s">
        <v>270</v>
      </c>
      <c r="E7" s="164" t="s">
        <v>389</v>
      </c>
      <c r="F7" s="163" t="s">
        <v>240</v>
      </c>
      <c r="G7" s="54"/>
      <c r="H7" s="54"/>
      <c r="I7" s="54"/>
    </row>
    <row r="8" spans="1:9">
      <c r="A8" s="54"/>
      <c r="B8" s="19"/>
      <c r="C8" s="23"/>
      <c r="D8" s="165"/>
      <c r="E8" s="20"/>
      <c r="F8" s="29" t="s">
        <v>241</v>
      </c>
      <c r="G8" s="54"/>
      <c r="H8" s="54"/>
      <c r="I8" s="54"/>
    </row>
    <row r="9" spans="1:9">
      <c r="A9" s="54"/>
      <c r="B9" s="19">
        <v>1987</v>
      </c>
      <c r="C9" s="21">
        <f>'Exhibit 1'!$C6/'Exhibit 1'!$B6</f>
        <v>0.34518792674920895</v>
      </c>
      <c r="D9" s="350">
        <v>1.0003512951149995</v>
      </c>
      <c r="E9" s="350">
        <v>1.0074495512419663</v>
      </c>
      <c r="F9" s="23">
        <f t="shared" ref="F9:F45" si="0">C9*E9</f>
        <v>0.34775942189763531</v>
      </c>
      <c r="G9" s="61"/>
      <c r="H9" s="61"/>
      <c r="I9" s="20"/>
    </row>
    <row r="10" spans="1:9">
      <c r="A10" s="54"/>
      <c r="B10" s="19">
        <f t="shared" ref="B10:B45" si="1">+B9+1</f>
        <v>1988</v>
      </c>
      <c r="C10" s="21">
        <f>'Exhibit 1'!$C7/'Exhibit 1'!$B7</f>
        <v>0.3300931740045121</v>
      </c>
      <c r="D10" s="350">
        <v>1.0007025902299991</v>
      </c>
      <c r="E10" s="350">
        <v>1.008157375453886</v>
      </c>
      <c r="F10" s="23">
        <f t="shared" si="0"/>
        <v>0.33278586795963183</v>
      </c>
      <c r="G10" s="61"/>
      <c r="H10" s="61"/>
      <c r="I10" s="20"/>
    </row>
    <row r="11" spans="1:9">
      <c r="A11" s="54"/>
      <c r="B11" s="19">
        <f t="shared" si="1"/>
        <v>1989</v>
      </c>
      <c r="C11" s="21">
        <f>'Exhibit 1'!$C8/'Exhibit 1'!$B8</f>
        <v>0.34252860686569825</v>
      </c>
      <c r="D11" s="350">
        <v>1</v>
      </c>
      <c r="E11" s="350">
        <v>1.008157375453886</v>
      </c>
      <c r="F11" s="23">
        <f t="shared" si="0"/>
        <v>0.34532274131559826</v>
      </c>
      <c r="G11" s="61"/>
      <c r="H11" s="61"/>
      <c r="I11" s="20"/>
    </row>
    <row r="12" spans="1:9">
      <c r="A12" s="54"/>
      <c r="B12" s="19">
        <f t="shared" si="1"/>
        <v>1990</v>
      </c>
      <c r="C12" s="21">
        <f>'Exhibit 1'!$C9/'Exhibit 1'!$B9</f>
        <v>0.39742202860716119</v>
      </c>
      <c r="D12" s="350">
        <v>1.0003805286433867</v>
      </c>
      <c r="E12" s="350">
        <v>1.0085410082122876</v>
      </c>
      <c r="F12" s="23">
        <f t="shared" si="0"/>
        <v>0.40081641341723895</v>
      </c>
      <c r="G12" s="61"/>
      <c r="H12" s="61"/>
      <c r="I12" s="20"/>
    </row>
    <row r="13" spans="1:9">
      <c r="A13" s="54"/>
      <c r="B13" s="19">
        <f t="shared" si="1"/>
        <v>1991</v>
      </c>
      <c r="C13" s="21">
        <f>'Exhibit 1'!$C10/'Exhibit 1'!$B10</f>
        <v>0.42409663633459138</v>
      </c>
      <c r="D13" s="350">
        <v>1.0003732860691463</v>
      </c>
      <c r="E13" s="350">
        <v>1.008917482520816</v>
      </c>
      <c r="F13" s="23">
        <f t="shared" si="0"/>
        <v>0.427878510676242</v>
      </c>
      <c r="G13" s="61"/>
      <c r="H13" s="61"/>
      <c r="I13" s="20"/>
    </row>
    <row r="14" spans="1:9">
      <c r="A14" s="54"/>
      <c r="B14" s="19">
        <f t="shared" si="1"/>
        <v>1992</v>
      </c>
      <c r="C14" s="21">
        <f>'Exhibit 1'!$C11/'Exhibit 1'!$B11</f>
        <v>0.34930015026517508</v>
      </c>
      <c r="D14" s="350">
        <v>1</v>
      </c>
      <c r="E14" s="350">
        <v>1.008917482520816</v>
      </c>
      <c r="F14" s="23">
        <f t="shared" si="0"/>
        <v>0.35241502824968318</v>
      </c>
      <c r="G14" s="61"/>
      <c r="H14" s="61"/>
      <c r="I14" s="20"/>
    </row>
    <row r="15" spans="1:9">
      <c r="A15" s="54"/>
      <c r="B15" s="19">
        <f t="shared" si="1"/>
        <v>1993</v>
      </c>
      <c r="C15" s="21">
        <f>'Exhibit 1'!$C12/'Exhibit 1'!$B12</f>
        <v>0.28641754903151478</v>
      </c>
      <c r="D15" s="350">
        <v>1.0010058693550621</v>
      </c>
      <c r="E15" s="350">
        <v>1.0099323216982701</v>
      </c>
      <c r="F15" s="23">
        <f t="shared" si="0"/>
        <v>0.28926234026852582</v>
      </c>
      <c r="G15" s="61"/>
      <c r="H15" s="61"/>
      <c r="I15" s="20"/>
    </row>
    <row r="16" spans="1:9">
      <c r="A16" s="54"/>
      <c r="B16" s="19">
        <f t="shared" si="1"/>
        <v>1994</v>
      </c>
      <c r="C16" s="21">
        <f>'Exhibit 1'!$C13/'Exhibit 1'!$B13</f>
        <v>0.32539010075623848</v>
      </c>
      <c r="D16" s="350">
        <v>1.000957899382718</v>
      </c>
      <c r="E16" s="350">
        <v>1.0108997352458118</v>
      </c>
      <c r="F16" s="23">
        <f t="shared" si="0"/>
        <v>0.32893676670608951</v>
      </c>
      <c r="G16" s="61"/>
      <c r="H16" s="61"/>
      <c r="I16" s="20"/>
    </row>
    <row r="17" spans="1:9">
      <c r="A17" s="54"/>
      <c r="B17" s="19">
        <f t="shared" si="1"/>
        <v>1995</v>
      </c>
      <c r="C17" s="21">
        <f>'Exhibit 1'!$C14/'Exhibit 1'!$B14</f>
        <v>0.46881805518962349</v>
      </c>
      <c r="D17" s="350">
        <v>1.0009059384093517</v>
      </c>
      <c r="E17" s="350">
        <v>1.0118155481439743</v>
      </c>
      <c r="F17" s="23">
        <f t="shared" si="0"/>
        <v>0.47435739749148093</v>
      </c>
      <c r="G17" s="61"/>
      <c r="H17" s="61"/>
      <c r="I17" s="20"/>
    </row>
    <row r="18" spans="1:9">
      <c r="A18" s="54"/>
      <c r="B18" s="19">
        <f t="shared" si="1"/>
        <v>1996</v>
      </c>
      <c r="C18" s="21">
        <f>'Exhibit 1'!$C15/'Exhibit 1'!$B15</f>
        <v>0.52597667626832056</v>
      </c>
      <c r="D18" s="350">
        <v>1.0008692637343475</v>
      </c>
      <c r="E18" s="350">
        <v>1.0126950827058248</v>
      </c>
      <c r="F18" s="23">
        <f t="shared" si="0"/>
        <v>0.53265399367488175</v>
      </c>
      <c r="G18" s="61"/>
      <c r="H18" s="61"/>
      <c r="I18" s="20"/>
    </row>
    <row r="19" spans="1:9">
      <c r="A19" s="54"/>
      <c r="B19" s="19">
        <f t="shared" si="1"/>
        <v>1997</v>
      </c>
      <c r="C19" s="21">
        <f>'Exhibit 1'!$C16/'Exhibit 1'!$B16</f>
        <v>0.59533938773903783</v>
      </c>
      <c r="D19" s="350">
        <v>1.0014125628192965</v>
      </c>
      <c r="E19" s="350">
        <v>1.0141255781269394</v>
      </c>
      <c r="F19" s="23">
        <f t="shared" si="0"/>
        <v>0.60374890077258991</v>
      </c>
      <c r="G19" s="61"/>
      <c r="H19" s="61"/>
      <c r="I19" s="20"/>
    </row>
    <row r="20" spans="1:9">
      <c r="A20" s="54"/>
      <c r="B20" s="19">
        <f t="shared" si="1"/>
        <v>1998</v>
      </c>
      <c r="C20" s="21">
        <f>'Exhibit 1'!$C17/'Exhibit 1'!$B17</f>
        <v>0.64502519872320074</v>
      </c>
      <c r="D20" s="350">
        <v>1.0016573996295983</v>
      </c>
      <c r="E20" s="350">
        <v>1.0158063894844931</v>
      </c>
      <c r="F20" s="23">
        <f t="shared" si="0"/>
        <v>0.65522071824153216</v>
      </c>
      <c r="G20" s="61"/>
      <c r="H20" s="61"/>
      <c r="I20" s="23"/>
    </row>
    <row r="21" spans="1:9">
      <c r="A21" s="54"/>
      <c r="B21" s="19">
        <f t="shared" si="1"/>
        <v>1999</v>
      </c>
      <c r="C21" s="21">
        <f>'Exhibit 1'!$C18/'Exhibit 1'!$B18</f>
        <v>0.67495679646548656</v>
      </c>
      <c r="D21" s="121">
        <f ca="1">INDEX('Exhibit 2.5.2'!$B$26:$V$26,COUNT($B21:$B$24))</f>
        <v>1.0016666666666667</v>
      </c>
      <c r="E21" s="350">
        <v>1.0174994001336339</v>
      </c>
      <c r="F21" s="23">
        <f t="shared" si="0"/>
        <v>0.6867681355197518</v>
      </c>
      <c r="G21" s="61"/>
      <c r="H21" s="61"/>
      <c r="I21" s="23"/>
    </row>
    <row r="22" spans="1:9">
      <c r="A22" s="54"/>
      <c r="B22" s="19">
        <f t="shared" si="1"/>
        <v>2000</v>
      </c>
      <c r="C22" s="21">
        <f>'Exhibit 1'!$C19/'Exhibit 1'!$B19</f>
        <v>0.58393073141390761</v>
      </c>
      <c r="D22" s="121">
        <f ca="1">INDEX('Exhibit 2.5.2'!$B$26:$V$26,COUNT($B22:$B$24))</f>
        <v>1.0016666666666667</v>
      </c>
      <c r="E22" s="350">
        <v>1.01919523246719</v>
      </c>
      <c r="F22" s="23">
        <f t="shared" si="0"/>
        <v>0.59513941754813382</v>
      </c>
      <c r="G22" s="61"/>
      <c r="H22" s="61"/>
      <c r="I22" s="20"/>
    </row>
    <row r="23" spans="1:9">
      <c r="A23" s="54"/>
      <c r="B23" s="19">
        <f t="shared" si="1"/>
        <v>2001</v>
      </c>
      <c r="C23" s="21">
        <f>'Exhibit 1'!$C20/'Exhibit 1'!$B20</f>
        <v>0.48375758376054606</v>
      </c>
      <c r="D23" s="121">
        <f ca="1">INDEX('Exhibit 2.5.2'!$B$26:$V$26,COUNT($B23:$B$24))</f>
        <v>1.002</v>
      </c>
      <c r="E23" s="350">
        <v>1.0212336229321244</v>
      </c>
      <c r="F23" s="20">
        <f t="shared" si="0"/>
        <v>0.49402950988467309</v>
      </c>
      <c r="G23" s="61"/>
      <c r="H23" s="61"/>
      <c r="I23" s="20"/>
    </row>
    <row r="24" spans="1:9">
      <c r="A24" s="54"/>
      <c r="B24" s="19">
        <f t="shared" si="1"/>
        <v>2002</v>
      </c>
      <c r="C24" s="21">
        <f>'Exhibit 1'!$C21/'Exhibit 1'!$B21</f>
        <v>0.36030590034144927</v>
      </c>
      <c r="D24" s="121">
        <f ca="1">INDEX('Exhibit 2.5.2'!$B$26:$V$26,COUNT($B24:$B$24))</f>
        <v>1.002</v>
      </c>
      <c r="E24" s="350">
        <v>1.0232760901779887</v>
      </c>
      <c r="F24" s="20">
        <f t="shared" si="0"/>
        <v>0.36869241296945826</v>
      </c>
      <c r="G24" s="61"/>
      <c r="H24" s="61"/>
      <c r="I24" s="20"/>
    </row>
    <row r="25" spans="1:9">
      <c r="A25" s="54"/>
      <c r="B25" s="19">
        <f t="shared" si="1"/>
        <v>2003</v>
      </c>
      <c r="C25" s="21">
        <f>'Exhibit 1'!$C22/'Exhibit 1'!$B22</f>
        <v>0.238095877880527</v>
      </c>
      <c r="D25" s="20">
        <f ca="1">INDEX('Exhibit 2.5.1'!$B$33:$V$33,COUNT($B25:$B$45))</f>
        <v>1.002</v>
      </c>
      <c r="E25" s="350">
        <v>1.0253226423583446</v>
      </c>
      <c r="F25" s="20">
        <f t="shared" si="0"/>
        <v>0.24412509464309168</v>
      </c>
      <c r="G25" s="61"/>
      <c r="H25" s="61"/>
      <c r="I25" s="20"/>
    </row>
    <row r="26" spans="1:9">
      <c r="A26" s="54"/>
      <c r="B26" s="19">
        <f t="shared" si="1"/>
        <v>2004</v>
      </c>
      <c r="C26" s="21">
        <f>'Exhibit 1'!$C23/'Exhibit 1'!$B23</f>
        <v>0.14136386325234609</v>
      </c>
      <c r="D26" s="20">
        <f ca="1">INDEX('Exhibit 2.5.1'!$B$33:$V$33,COUNT($B26:$B$45))</f>
        <v>1.0026666666666666</v>
      </c>
      <c r="E26" s="350">
        <v>1.0280568360713001</v>
      </c>
      <c r="F26" s="20">
        <f t="shared" si="0"/>
        <v>0.14533008599002284</v>
      </c>
      <c r="G26" s="61"/>
      <c r="H26" s="61"/>
      <c r="I26" s="20"/>
    </row>
    <row r="27" spans="1:9">
      <c r="A27" s="54"/>
      <c r="B27" s="19">
        <f t="shared" si="1"/>
        <v>2005</v>
      </c>
      <c r="C27" s="21">
        <f>'Exhibit 1'!$C24/'Exhibit 1'!$B24</f>
        <v>0.12094393960880663</v>
      </c>
      <c r="D27" s="20">
        <f ca="1">INDEX('Exhibit 2.5.1'!$B$33:$V$33,COUNT($B27:$B$45))</f>
        <v>1.0029999999999999</v>
      </c>
      <c r="E27" s="350">
        <v>1.0311410065795139</v>
      </c>
      <c r="F27" s="20">
        <f t="shared" si="0"/>
        <v>0.12471025562791681</v>
      </c>
      <c r="G27" s="61"/>
      <c r="H27" s="61"/>
      <c r="I27" s="20"/>
    </row>
    <row r="28" spans="1:9">
      <c r="A28" s="54"/>
      <c r="B28" s="19">
        <f t="shared" si="1"/>
        <v>2006</v>
      </c>
      <c r="C28" s="21">
        <f>'Exhibit 1'!$C25/'Exhibit 1'!$B25</f>
        <v>0.15580868649353485</v>
      </c>
      <c r="D28" s="20">
        <f ca="1">INDEX('Exhibit 2.5.1'!$B$33:$V$33,COUNT($B28:$B$45))</f>
        <v>1.004</v>
      </c>
      <c r="E28" s="350">
        <v>1.035265570605832</v>
      </c>
      <c r="F28" s="20">
        <f t="shared" si="0"/>
        <v>0.16130336872807455</v>
      </c>
      <c r="G28" s="61"/>
      <c r="H28" s="61"/>
      <c r="I28" s="20"/>
    </row>
    <row r="29" spans="1:9">
      <c r="A29" s="54"/>
      <c r="B29" s="19">
        <f t="shared" si="1"/>
        <v>2007</v>
      </c>
      <c r="C29" s="21">
        <f>'Exhibit 1'!$C26/'Exhibit 1'!$B26</f>
        <v>0.21360470161332984</v>
      </c>
      <c r="D29" s="20">
        <f ca="1">INDEX('Exhibit 2.5.1'!$B$33:$V$33,COUNT($B29:$B$45))</f>
        <v>1.0046666666666666</v>
      </c>
      <c r="E29" s="350">
        <v>1.0400968099353258</v>
      </c>
      <c r="F29" s="20">
        <f t="shared" si="0"/>
        <v>0.22216956873521151</v>
      </c>
      <c r="G29" s="61"/>
      <c r="H29" s="61"/>
      <c r="I29" s="20"/>
    </row>
    <row r="30" spans="1:9">
      <c r="A30" s="54"/>
      <c r="B30" s="19">
        <f t="shared" si="1"/>
        <v>2008</v>
      </c>
      <c r="C30" s="21">
        <f>'Exhibit 1'!$C27/'Exhibit 1'!$B27</f>
        <v>0.26889328628833742</v>
      </c>
      <c r="D30" s="20">
        <f ca="1">INDEX('Exhibit 2.5.1'!$B$33:$V$33,COUNT($B30:$B$45))</f>
        <v>1.0053333333333334</v>
      </c>
      <c r="E30" s="350">
        <v>1.0456439929216477</v>
      </c>
      <c r="F30" s="20">
        <f t="shared" si="0"/>
        <v>0.28116664954436088</v>
      </c>
      <c r="G30" s="61"/>
      <c r="H30" s="61"/>
      <c r="I30" s="20"/>
    </row>
    <row r="31" spans="1:9">
      <c r="A31" s="54"/>
      <c r="B31" s="19">
        <f t="shared" si="1"/>
        <v>2009</v>
      </c>
      <c r="C31" s="21">
        <f>'Exhibit 1'!$C28/'Exhibit 1'!$B28</f>
        <v>0.31326917523816949</v>
      </c>
      <c r="D31" s="20">
        <f ca="1">INDEX('Exhibit 2.5.1'!$B$33:$V$33,COUNT($B31:$B$45))</f>
        <v>1.0063333333333333</v>
      </c>
      <c r="E31" s="350">
        <v>1.052266404876818</v>
      </c>
      <c r="F31" s="20">
        <f t="shared" si="0"/>
        <v>0.3296426287865945</v>
      </c>
      <c r="G31" s="61"/>
      <c r="H31" s="61"/>
      <c r="I31" s="20"/>
    </row>
    <row r="32" spans="1:9">
      <c r="A32" s="54"/>
      <c r="B32" s="19">
        <f t="shared" si="1"/>
        <v>2010</v>
      </c>
      <c r="C32" s="21">
        <f>'Exhibit 1'!$C29/'Exhibit 1'!$B29</f>
        <v>0.29887184185456495</v>
      </c>
      <c r="D32" s="20">
        <f ca="1">INDEX('Exhibit 2.5.1'!$B$33:$V$33,COUNT($B32:$B$45))</f>
        <v>1.0073333333333332</v>
      </c>
      <c r="E32" s="350">
        <v>1.0599830251792479</v>
      </c>
      <c r="F32" s="20">
        <f t="shared" si="0"/>
        <v>0.31679907906989552</v>
      </c>
      <c r="G32" s="61"/>
      <c r="H32" s="61"/>
      <c r="I32" s="20"/>
    </row>
    <row r="33" spans="1:9">
      <c r="A33" s="54"/>
      <c r="B33" s="19">
        <f t="shared" si="1"/>
        <v>2011</v>
      </c>
      <c r="C33" s="21">
        <f>'Exhibit 1'!$C30/'Exhibit 1'!$B30</f>
        <v>0.27471027400963283</v>
      </c>
      <c r="D33" s="20">
        <f ca="1">INDEX('Exhibit 2.5.1'!$B$33:$V$33,COUNT($B33:$B$45))</f>
        <v>1.0086666666666666</v>
      </c>
      <c r="E33" s="350">
        <v>1.0691695447308014</v>
      </c>
      <c r="F33" s="20">
        <f t="shared" si="0"/>
        <v>0.29371185859575283</v>
      </c>
      <c r="G33" s="54"/>
      <c r="H33" s="61"/>
      <c r="I33" s="20"/>
    </row>
    <row r="34" spans="1:9">
      <c r="A34" s="54"/>
      <c r="B34" s="19">
        <f t="shared" si="1"/>
        <v>2012</v>
      </c>
      <c r="C34" s="21">
        <f>'Exhibit 1'!$C31/'Exhibit 1'!$B31</f>
        <v>0.24409104159624048</v>
      </c>
      <c r="D34" s="20">
        <f ca="1">INDEX('Exhibit 2.5.1'!$B$33:$V$33,COUNT($B34:$B$45))</f>
        <v>1.0106666666666666</v>
      </c>
      <c r="E34" s="350">
        <v>1.0805740198745966</v>
      </c>
      <c r="F34" s="20">
        <f t="shared" si="0"/>
        <v>0.26375843803302695</v>
      </c>
      <c r="G34" s="54"/>
      <c r="H34" s="61"/>
      <c r="I34" s="20"/>
    </row>
    <row r="35" spans="1:9">
      <c r="A35" s="54"/>
      <c r="B35" s="19">
        <f t="shared" si="1"/>
        <v>2013</v>
      </c>
      <c r="C35" s="21">
        <f>'Exhibit 1'!$C32/'Exhibit 1'!$B32</f>
        <v>0.20477451731897101</v>
      </c>
      <c r="D35" s="20">
        <f ca="1">INDEX('Exhibit 2.5.1'!$B$33:$V$33,COUNT($B35:$B$45))</f>
        <v>1.0113333333333334</v>
      </c>
      <c r="E35" s="350">
        <v>1.0928205254331753</v>
      </c>
      <c r="F35" s="20">
        <f t="shared" si="0"/>
        <v>0.22378179561184275</v>
      </c>
      <c r="G35" s="54"/>
      <c r="H35" s="61"/>
      <c r="I35" s="20"/>
    </row>
    <row r="36" spans="1:9">
      <c r="A36" s="54"/>
      <c r="B36" s="19">
        <f t="shared" si="1"/>
        <v>2014</v>
      </c>
      <c r="C36" s="21">
        <f>'Exhibit 1'!$C33/'Exhibit 1'!$B33</f>
        <v>0.19237225832530694</v>
      </c>
      <c r="D36" s="20">
        <f ca="1">INDEX('Exhibit 2.5.1'!$B$33:$V$33,COUNT($B36:$B$45))</f>
        <v>1.0136666666666667</v>
      </c>
      <c r="E36" s="20">
        <f ca="1">INDEX('Exhibit 2.5.1'!$B$34:$V$34,COUNT($B36:$B$45))</f>
        <v>1.1077557392807622</v>
      </c>
      <c r="F36" s="20">
        <f t="shared" ca="1" si="0"/>
        <v>0.21310147323826015</v>
      </c>
      <c r="G36" s="54"/>
      <c r="H36" s="61"/>
      <c r="I36" s="20"/>
    </row>
    <row r="37" spans="1:9">
      <c r="A37" s="54"/>
      <c r="B37" s="19">
        <f t="shared" si="1"/>
        <v>2015</v>
      </c>
      <c r="C37" s="21">
        <f>'Exhibit 1'!$C34/'Exhibit 1'!$B34</f>
        <v>0.1848877936071614</v>
      </c>
      <c r="D37" s="20">
        <f ca="1">INDEX('Exhibit 2.5.1'!$B$33:$V$33,COUNT($B37:$B$45))</f>
        <v>1.0159999999999998</v>
      </c>
      <c r="E37" s="20">
        <f ca="1">INDEX('Exhibit 2.5.1'!$B$34:$V$34,COUNT($B37:$B$45))</f>
        <v>1.1254798311092542</v>
      </c>
      <c r="F37" s="20">
        <f t="shared" ca="1" si="0"/>
        <v>0.20808748272315067</v>
      </c>
      <c r="G37" s="54"/>
      <c r="H37" s="61"/>
      <c r="I37" s="20"/>
    </row>
    <row r="38" spans="1:9">
      <c r="A38" s="54"/>
      <c r="B38" s="19">
        <f t="shared" si="1"/>
        <v>2016</v>
      </c>
      <c r="C38" s="21">
        <f>'Exhibit 1'!$C35/'Exhibit 1'!$B35</f>
        <v>0.17273892368292454</v>
      </c>
      <c r="D38" s="20">
        <f ca="1">INDEX('Exhibit 2.5.1'!$B$33:$V$33,COUNT($B38:$B$45))</f>
        <v>1.018</v>
      </c>
      <c r="E38" s="20">
        <f ca="1">INDEX('Exhibit 2.5.1'!$B$34:$V$34,COUNT($B38:$B$45))</f>
        <v>1.1457384680692209</v>
      </c>
      <c r="F38" s="20">
        <f t="shared" ca="1" si="0"/>
        <v>0.19791362979640001</v>
      </c>
      <c r="G38" s="54"/>
      <c r="H38" s="61"/>
      <c r="I38" s="20"/>
    </row>
    <row r="39" spans="1:9">
      <c r="A39" s="54"/>
      <c r="B39" s="19">
        <f t="shared" si="1"/>
        <v>2017</v>
      </c>
      <c r="C39" s="21">
        <f>'Exhibit 1'!$C36/'Exhibit 1'!$B36</f>
        <v>0.17249212462882416</v>
      </c>
      <c r="D39" s="20">
        <f ca="1">INDEX('Exhibit 2.5.1'!$B$33:$V$33,COUNT($B39:$B$45))</f>
        <v>1.028</v>
      </c>
      <c r="E39" s="20">
        <f ca="1">INDEX('Exhibit 2.5.1'!$B$34:$V$34,COUNT($B39:$B$45))</f>
        <v>1.1778191451751592</v>
      </c>
      <c r="F39" s="20">
        <f t="shared" ca="1" si="0"/>
        <v>0.20316452677976868</v>
      </c>
      <c r="G39" s="54"/>
      <c r="H39" s="61"/>
      <c r="I39" s="20"/>
    </row>
    <row r="40" spans="1:9">
      <c r="A40" s="54"/>
      <c r="B40" s="19">
        <f t="shared" si="1"/>
        <v>2018</v>
      </c>
      <c r="C40" s="21">
        <f>'Exhibit 1'!$C37/'Exhibit 1'!$B37</f>
        <v>0.1769847033357142</v>
      </c>
      <c r="D40" s="20">
        <f ca="1">INDEX('Exhibit 2.5.1'!$B$33:$V$33,COUNT($B40:$B$45))</f>
        <v>1.0409999999999999</v>
      </c>
      <c r="E40" s="20">
        <f ca="1">INDEX('Exhibit 2.5.1'!$B$34:$V$34,COUNT($B40:$B$45))</f>
        <v>1.2261097301273407</v>
      </c>
      <c r="F40" s="20">
        <f t="shared" ca="1" si="0"/>
        <v>0.21700266684361999</v>
      </c>
      <c r="G40" s="54"/>
      <c r="H40" s="61"/>
      <c r="I40" s="20"/>
    </row>
    <row r="41" spans="1:9">
      <c r="A41" s="54"/>
      <c r="B41" s="19">
        <f t="shared" si="1"/>
        <v>2019</v>
      </c>
      <c r="C41" s="21">
        <f>'Exhibit 1'!$C38/'Exhibit 1'!$B38</f>
        <v>0.1941647623995634</v>
      </c>
      <c r="D41" s="20">
        <f ca="1">INDEX('Exhibit 2.5.1'!$B$33:$V$33,COUNT($B41:$B$45))</f>
        <v>1.071</v>
      </c>
      <c r="E41" s="20">
        <f ca="1">INDEX('Exhibit 2.5.1'!$B$34:$V$34,COUNT($B41:$B$45))</f>
        <v>1.3131635209663819</v>
      </c>
      <c r="F41" s="20">
        <f t="shared" ca="1" si="0"/>
        <v>0.25497008304021163</v>
      </c>
      <c r="G41" s="54"/>
      <c r="H41" s="61"/>
      <c r="I41" s="20"/>
    </row>
    <row r="42" spans="1:9">
      <c r="A42" s="54"/>
      <c r="B42" s="19">
        <f t="shared" si="1"/>
        <v>2020</v>
      </c>
      <c r="C42" s="21">
        <f>'Exhibit 1'!$C39/'Exhibit 1'!$B39</f>
        <v>0.1823273595079532</v>
      </c>
      <c r="D42" s="20">
        <f ca="1">INDEX('Exhibit 2.5.1'!$B$33:$V$33,COUNT($B42:$B$45))</f>
        <v>1.1220000000000001</v>
      </c>
      <c r="E42" s="20">
        <f ca="1">INDEX('Exhibit 2.5.1'!$B$34:$V$34,COUNT($B42:$B$45))</f>
        <v>1.4733694705242806</v>
      </c>
      <c r="F42" s="20">
        <f t="shared" ca="1" si="0"/>
        <v>0.26863556514032316</v>
      </c>
      <c r="G42" s="54"/>
      <c r="H42" s="61"/>
      <c r="I42" s="20"/>
    </row>
    <row r="43" spans="1:9">
      <c r="A43" s="54"/>
      <c r="B43" s="19">
        <f t="shared" si="1"/>
        <v>2021</v>
      </c>
      <c r="C43" s="21">
        <f>'Exhibit 1'!$C40/'Exhibit 1'!$B40</f>
        <v>0.17008136952855615</v>
      </c>
      <c r="D43" s="20">
        <f ca="1">INDEX('Exhibit 2.5.1'!$B$33:$V$33,COUNT($B43:$B$45))</f>
        <v>1.24</v>
      </c>
      <c r="E43" s="20">
        <f ca="1">INDEX('Exhibit 2.5.1'!$B$34:$V$34,COUNT($B43:$B$45))</f>
        <v>1.826978143450108</v>
      </c>
      <c r="F43" s="20">
        <f t="shared" ca="1" si="0"/>
        <v>0.3107349447367333</v>
      </c>
      <c r="G43" s="54"/>
      <c r="H43" s="61"/>
      <c r="I43" s="20"/>
    </row>
    <row r="44" spans="1:9">
      <c r="A44" s="54"/>
      <c r="B44" s="19">
        <f t="shared" si="1"/>
        <v>2022</v>
      </c>
      <c r="C44" s="21">
        <f>'Exhibit 1'!$C41/'Exhibit 1'!$B41</f>
        <v>0.11122745831014405</v>
      </c>
      <c r="D44" s="20">
        <f ca="1">INDEX('Exhibit 2.5.1'!$B$33:$V$33,COUNT($B44:$B$45))</f>
        <v>1.53</v>
      </c>
      <c r="E44" s="20">
        <f ca="1">INDEX('Exhibit 2.5.1'!$B$34:$V$34,COUNT($B44:$B$45))</f>
        <v>2.7952765594786655</v>
      </c>
      <c r="F44" s="20">
        <f t="shared" ca="1" si="0"/>
        <v>0.31091150698473619</v>
      </c>
      <c r="G44" s="54"/>
      <c r="H44" s="61"/>
      <c r="I44" s="20"/>
    </row>
    <row r="45" spans="1:9">
      <c r="A45" s="54"/>
      <c r="B45" s="19">
        <f t="shared" si="1"/>
        <v>2023</v>
      </c>
      <c r="C45" s="21">
        <f>'Exhibit 1'!$C42/'Exhibit 1'!$B42</f>
        <v>3.8587750366557844E-2</v>
      </c>
      <c r="D45" s="20">
        <f ca="1">INDEX('Exhibit 2.5.1'!$B$33:$V$33,COUNT($B45:$B$45))</f>
        <v>2.952</v>
      </c>
      <c r="E45" s="20">
        <f ca="1">INDEX('Exhibit 2.5.1'!$B$34:$V$34,COUNT($B45:$B$45))</f>
        <v>8.2516564035810198</v>
      </c>
      <c r="F45" s="20">
        <f t="shared" ca="1" si="0"/>
        <v>0.31841285741199288</v>
      </c>
      <c r="G45" s="54"/>
      <c r="H45" s="61"/>
      <c r="I45" s="20"/>
    </row>
    <row r="46" spans="1:9">
      <c r="A46" s="54"/>
      <c r="B46" s="19"/>
      <c r="C46" s="20"/>
      <c r="D46" s="20"/>
      <c r="E46" s="97"/>
      <c r="F46" s="20"/>
      <c r="G46" s="54"/>
      <c r="H46" s="54"/>
      <c r="I46" s="54"/>
    </row>
    <row r="47" spans="1:9" ht="12.75" customHeight="1">
      <c r="A47" s="54"/>
      <c r="B47" s="31" t="s">
        <v>22</v>
      </c>
      <c r="C47" s="104" t="s">
        <v>310</v>
      </c>
      <c r="D47" s="216"/>
      <c r="E47" s="216"/>
      <c r="F47" s="216"/>
      <c r="G47" s="54"/>
      <c r="H47" s="54"/>
      <c r="I47" s="54"/>
    </row>
    <row r="48" spans="1:9">
      <c r="A48" s="54"/>
      <c r="B48" s="31" t="s">
        <v>26</v>
      </c>
      <c r="C48" s="131" t="s">
        <v>230</v>
      </c>
      <c r="D48" s="166"/>
      <c r="E48" s="281"/>
      <c r="F48" s="281"/>
      <c r="G48" s="54"/>
      <c r="H48" s="54"/>
      <c r="I48" s="54"/>
    </row>
  </sheetData>
  <mergeCells count="3">
    <mergeCell ref="A1:G1"/>
    <mergeCell ref="B2:F2"/>
    <mergeCell ref="D4:E4"/>
  </mergeCells>
  <printOptions horizontalCentered="1"/>
  <pageMargins left="0.5" right="0.5" top="0.75" bottom="0.75" header="0.33" footer="0.33"/>
  <pageSetup orientation="portrait" blackAndWhite="1" r:id="rId1"/>
  <headerFooter scaleWithDoc="0">
    <oddHeader>&amp;R&amp;"Arial,Regular"&amp;10Exhibit 3.1</oddHeader>
  </headerFooter>
  <ignoredErrors>
    <ignoredError sqref="C6:E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A11BF-D4DC-4A48-9D78-A5038566D832}">
  <sheetPr>
    <pageSetUpPr fitToPage="1"/>
  </sheetPr>
  <dimension ref="A1:I51"/>
  <sheetViews>
    <sheetView zoomScaleNormal="100" zoomScaleSheetLayoutView="100" workbookViewId="0">
      <selection sqref="A1:H1"/>
    </sheetView>
  </sheetViews>
  <sheetFormatPr defaultColWidth="9.140625" defaultRowHeight="12.75"/>
  <cols>
    <col min="1" max="1" width="8.5703125" style="53" customWidth="1"/>
    <col min="2" max="7" width="13.28515625" style="53" customWidth="1"/>
    <col min="8" max="16384" width="9.140625" style="53"/>
  </cols>
  <sheetData>
    <row r="1" spans="1:9">
      <c r="A1" s="434" t="s">
        <v>374</v>
      </c>
      <c r="B1" s="434"/>
      <c r="C1" s="434"/>
      <c r="D1" s="434"/>
      <c r="E1" s="434"/>
      <c r="F1" s="434"/>
      <c r="G1" s="434"/>
      <c r="H1" s="434"/>
      <c r="I1" s="54"/>
    </row>
    <row r="2" spans="1:9">
      <c r="A2" s="54"/>
      <c r="B2" s="434" t="s">
        <v>492</v>
      </c>
      <c r="C2" s="434"/>
      <c r="D2" s="434"/>
      <c r="E2" s="434"/>
      <c r="F2" s="434"/>
      <c r="G2" s="434"/>
      <c r="H2" s="54"/>
      <c r="I2" s="54"/>
    </row>
    <row r="3" spans="1:9">
      <c r="A3" s="54"/>
      <c r="B3" s="28"/>
      <c r="C3" s="27"/>
      <c r="D3" s="27"/>
      <c r="E3" s="27"/>
      <c r="F3" s="27"/>
      <c r="G3" s="54"/>
      <c r="H3" s="54"/>
      <c r="I3" s="54"/>
    </row>
    <row r="4" spans="1:9">
      <c r="A4" s="54"/>
      <c r="B4" s="28"/>
      <c r="C4" s="28"/>
      <c r="D4" s="435" t="s">
        <v>37</v>
      </c>
      <c r="E4" s="435"/>
      <c r="F4" s="28"/>
      <c r="G4" s="54"/>
      <c r="H4" s="54"/>
      <c r="I4" s="54"/>
    </row>
    <row r="5" spans="1:9">
      <c r="A5" s="54"/>
      <c r="B5" s="30"/>
      <c r="C5" s="30"/>
      <c r="D5" s="30"/>
      <c r="E5" s="344"/>
      <c r="F5" s="30"/>
      <c r="G5" s="54"/>
      <c r="H5" s="54"/>
      <c r="I5" s="54"/>
    </row>
    <row r="6" spans="1:9">
      <c r="A6" s="54"/>
      <c r="B6" s="30"/>
      <c r="C6" s="29" t="s">
        <v>38</v>
      </c>
      <c r="D6" s="29" t="s">
        <v>39</v>
      </c>
      <c r="E6" s="29" t="s">
        <v>40</v>
      </c>
      <c r="F6" s="29" t="s">
        <v>41</v>
      </c>
      <c r="G6" s="29" t="s">
        <v>42</v>
      </c>
      <c r="H6" s="54"/>
      <c r="I6" s="54"/>
    </row>
    <row r="7" spans="1:9" ht="38.25" customHeight="1">
      <c r="A7" s="54"/>
      <c r="B7" s="163" t="s">
        <v>249</v>
      </c>
      <c r="C7" s="163" t="s">
        <v>379</v>
      </c>
      <c r="D7" s="30" t="s">
        <v>270</v>
      </c>
      <c r="E7" s="164" t="s">
        <v>389</v>
      </c>
      <c r="F7" s="163" t="s">
        <v>240</v>
      </c>
      <c r="G7" s="163" t="s">
        <v>377</v>
      </c>
      <c r="H7" s="54"/>
      <c r="I7" s="54"/>
    </row>
    <row r="8" spans="1:9">
      <c r="A8" s="54"/>
      <c r="B8" s="19"/>
      <c r="C8" s="23"/>
      <c r="D8" s="165"/>
      <c r="E8" s="20"/>
      <c r="F8" s="29" t="s">
        <v>241</v>
      </c>
      <c r="G8" s="54"/>
      <c r="H8" s="54"/>
      <c r="I8" s="54"/>
    </row>
    <row r="9" spans="1:9">
      <c r="A9" s="54"/>
      <c r="B9" s="19">
        <v>1987</v>
      </c>
      <c r="C9" s="21">
        <f>'Exhibit 1'!$C6/'Exhibit 1'!$B6</f>
        <v>0.34518792674920895</v>
      </c>
      <c r="D9" s="350">
        <v>1.0003512951149995</v>
      </c>
      <c r="E9" s="350">
        <v>1.0074495512419663</v>
      </c>
      <c r="F9" s="23">
        <f t="shared" ref="F9:F45" si="0">C9*E9</f>
        <v>0.34775942189763531</v>
      </c>
      <c r="G9" s="20">
        <f>AVERAGE(F9, 'Exhibit 3.1'!F9)</f>
        <v>0.34775942189763531</v>
      </c>
      <c r="H9" s="61"/>
      <c r="I9" s="20"/>
    </row>
    <row r="10" spans="1:9">
      <c r="A10" s="54"/>
      <c r="B10" s="19">
        <f t="shared" ref="B10:B45" si="1">+B9+1</f>
        <v>1988</v>
      </c>
      <c r="C10" s="21">
        <f>'Exhibit 1'!$C7/'Exhibit 1'!$B7</f>
        <v>0.3300931740045121</v>
      </c>
      <c r="D10" s="350">
        <v>1.0007025902299991</v>
      </c>
      <c r="E10" s="350">
        <v>1.008157375453886</v>
      </c>
      <c r="F10" s="23">
        <f t="shared" si="0"/>
        <v>0.33278586795963183</v>
      </c>
      <c r="G10" s="20">
        <f>AVERAGE(F10, 'Exhibit 3.1'!F10)</f>
        <v>0.33278586795963183</v>
      </c>
      <c r="H10" s="61"/>
      <c r="I10" s="20"/>
    </row>
    <row r="11" spans="1:9">
      <c r="A11" s="54"/>
      <c r="B11" s="19">
        <f t="shared" si="1"/>
        <v>1989</v>
      </c>
      <c r="C11" s="21">
        <f>'Exhibit 1'!$C8/'Exhibit 1'!$B8</f>
        <v>0.34252860686569825</v>
      </c>
      <c r="D11" s="350">
        <v>1</v>
      </c>
      <c r="E11" s="350">
        <v>1.008157375453886</v>
      </c>
      <c r="F11" s="23">
        <f t="shared" si="0"/>
        <v>0.34532274131559826</v>
      </c>
      <c r="G11" s="20">
        <f>AVERAGE(F11, 'Exhibit 3.1'!F11)</f>
        <v>0.34532274131559826</v>
      </c>
      <c r="H11" s="61"/>
      <c r="I11" s="20"/>
    </row>
    <row r="12" spans="1:9">
      <c r="A12" s="54"/>
      <c r="B12" s="19">
        <f t="shared" si="1"/>
        <v>1990</v>
      </c>
      <c r="C12" s="21">
        <f>'Exhibit 1'!$C9/'Exhibit 1'!$B9</f>
        <v>0.39742202860716119</v>
      </c>
      <c r="D12" s="350">
        <v>1.0003805286433867</v>
      </c>
      <c r="E12" s="350">
        <v>1.0085410082122876</v>
      </c>
      <c r="F12" s="23">
        <f t="shared" si="0"/>
        <v>0.40081641341723895</v>
      </c>
      <c r="G12" s="20">
        <f>AVERAGE(F12, 'Exhibit 3.1'!F12)</f>
        <v>0.40081641341723895</v>
      </c>
      <c r="H12" s="61"/>
      <c r="I12" s="20"/>
    </row>
    <row r="13" spans="1:9">
      <c r="A13" s="54"/>
      <c r="B13" s="19">
        <f t="shared" si="1"/>
        <v>1991</v>
      </c>
      <c r="C13" s="21">
        <f>'Exhibit 1'!$C10/'Exhibit 1'!$B10</f>
        <v>0.42409663633459138</v>
      </c>
      <c r="D13" s="350">
        <v>1.0003732860691463</v>
      </c>
      <c r="E13" s="350">
        <v>1.008917482520816</v>
      </c>
      <c r="F13" s="23">
        <f t="shared" si="0"/>
        <v>0.427878510676242</v>
      </c>
      <c r="G13" s="20">
        <f>AVERAGE(F13, 'Exhibit 3.1'!F13)</f>
        <v>0.427878510676242</v>
      </c>
      <c r="H13" s="61"/>
      <c r="I13" s="20"/>
    </row>
    <row r="14" spans="1:9">
      <c r="A14" s="54"/>
      <c r="B14" s="19">
        <f t="shared" si="1"/>
        <v>1992</v>
      </c>
      <c r="C14" s="21">
        <f>'Exhibit 1'!$C11/'Exhibit 1'!$B11</f>
        <v>0.34930015026517508</v>
      </c>
      <c r="D14" s="350">
        <v>1</v>
      </c>
      <c r="E14" s="350">
        <v>1.008917482520816</v>
      </c>
      <c r="F14" s="23">
        <f t="shared" si="0"/>
        <v>0.35241502824968318</v>
      </c>
      <c r="G14" s="20">
        <f>AVERAGE(F14, 'Exhibit 3.1'!F14)</f>
        <v>0.35241502824968318</v>
      </c>
      <c r="H14" s="61"/>
      <c r="I14" s="20"/>
    </row>
    <row r="15" spans="1:9">
      <c r="A15" s="54"/>
      <c r="B15" s="19">
        <f t="shared" si="1"/>
        <v>1993</v>
      </c>
      <c r="C15" s="21">
        <f>'Exhibit 1'!$C12/'Exhibit 1'!$B12</f>
        <v>0.28641754903151478</v>
      </c>
      <c r="D15" s="350">
        <v>1.0010058693550621</v>
      </c>
      <c r="E15" s="350">
        <v>1.0099323216982701</v>
      </c>
      <c r="F15" s="23">
        <f t="shared" si="0"/>
        <v>0.28926234026852582</v>
      </c>
      <c r="G15" s="20">
        <f>AVERAGE(F15, 'Exhibit 3.1'!F15)</f>
        <v>0.28926234026852582</v>
      </c>
      <c r="H15" s="61"/>
      <c r="I15" s="20"/>
    </row>
    <row r="16" spans="1:9">
      <c r="A16" s="54"/>
      <c r="B16" s="19">
        <f t="shared" si="1"/>
        <v>1994</v>
      </c>
      <c r="C16" s="21">
        <f>'Exhibit 1'!$C13/'Exhibit 1'!$B13</f>
        <v>0.32539010075623848</v>
      </c>
      <c r="D16" s="350">
        <v>1.000957899382718</v>
      </c>
      <c r="E16" s="350">
        <v>1.0108997352458118</v>
      </c>
      <c r="F16" s="23">
        <f t="shared" si="0"/>
        <v>0.32893676670608951</v>
      </c>
      <c r="G16" s="20">
        <f>AVERAGE(F16, 'Exhibit 3.1'!F16)</f>
        <v>0.32893676670608951</v>
      </c>
      <c r="H16" s="61"/>
      <c r="I16" s="20"/>
    </row>
    <row r="17" spans="1:9">
      <c r="A17" s="54"/>
      <c r="B17" s="19">
        <f t="shared" si="1"/>
        <v>1995</v>
      </c>
      <c r="C17" s="21">
        <f>'Exhibit 1'!$C14/'Exhibit 1'!$B14</f>
        <v>0.46881805518962349</v>
      </c>
      <c r="D17" s="350">
        <v>1.0009059384093517</v>
      </c>
      <c r="E17" s="350">
        <v>1.0118155481439743</v>
      </c>
      <c r="F17" s="23">
        <f t="shared" si="0"/>
        <v>0.47435739749148093</v>
      </c>
      <c r="G17" s="20">
        <f>AVERAGE(F17, 'Exhibit 3.1'!F17)</f>
        <v>0.47435739749148093</v>
      </c>
      <c r="H17" s="61"/>
      <c r="I17" s="20"/>
    </row>
    <row r="18" spans="1:9">
      <c r="A18" s="54"/>
      <c r="B18" s="19">
        <f t="shared" si="1"/>
        <v>1996</v>
      </c>
      <c r="C18" s="21">
        <f>'Exhibit 1'!$C15/'Exhibit 1'!$B15</f>
        <v>0.52597667626832056</v>
      </c>
      <c r="D18" s="350">
        <v>1.0008692637343475</v>
      </c>
      <c r="E18" s="350">
        <v>1.0126950827058248</v>
      </c>
      <c r="F18" s="23">
        <f t="shared" si="0"/>
        <v>0.53265399367488175</v>
      </c>
      <c r="G18" s="20">
        <f>AVERAGE(F18, 'Exhibit 3.1'!F18)</f>
        <v>0.53265399367488175</v>
      </c>
      <c r="H18" s="61"/>
      <c r="I18" s="20"/>
    </row>
    <row r="19" spans="1:9">
      <c r="A19" s="54"/>
      <c r="B19" s="19">
        <f t="shared" si="1"/>
        <v>1997</v>
      </c>
      <c r="C19" s="21">
        <f>'Exhibit 1'!$C16/'Exhibit 1'!$B16</f>
        <v>0.59533938773903783</v>
      </c>
      <c r="D19" s="350">
        <v>1.0014125628192965</v>
      </c>
      <c r="E19" s="350">
        <v>1.0141255781269394</v>
      </c>
      <c r="F19" s="23">
        <f t="shared" si="0"/>
        <v>0.60374890077258991</v>
      </c>
      <c r="G19" s="20">
        <f>AVERAGE(F19, 'Exhibit 3.1'!F19)</f>
        <v>0.60374890077258991</v>
      </c>
      <c r="H19" s="61"/>
      <c r="I19" s="20"/>
    </row>
    <row r="20" spans="1:9">
      <c r="A20" s="54"/>
      <c r="B20" s="19">
        <f t="shared" si="1"/>
        <v>1998</v>
      </c>
      <c r="C20" s="21">
        <f>'Exhibit 1'!$C17/'Exhibit 1'!$B17</f>
        <v>0.64502519872320074</v>
      </c>
      <c r="D20" s="350">
        <v>1.0016573996295983</v>
      </c>
      <c r="E20" s="350">
        <v>1.0158063894844931</v>
      </c>
      <c r="F20" s="23">
        <f t="shared" si="0"/>
        <v>0.65522071824153216</v>
      </c>
      <c r="G20" s="20">
        <f>AVERAGE(F20, 'Exhibit 3.1'!F20)</f>
        <v>0.65522071824153216</v>
      </c>
      <c r="H20" s="61"/>
      <c r="I20" s="23"/>
    </row>
    <row r="21" spans="1:9">
      <c r="A21" s="54"/>
      <c r="B21" s="19">
        <f t="shared" si="1"/>
        <v>1999</v>
      </c>
      <c r="C21" s="21">
        <f>'Exhibit 1'!$C18/'Exhibit 1'!$B18</f>
        <v>0.67495679646548656</v>
      </c>
      <c r="D21" s="121">
        <f ca="1">INDEX('Exhibit 2.5.2'!$B$26:$V$26,COUNT($B21:$B$24))</f>
        <v>1.0016666666666667</v>
      </c>
      <c r="E21" s="350">
        <v>1.0174994001336339</v>
      </c>
      <c r="F21" s="23">
        <f t="shared" si="0"/>
        <v>0.6867681355197518</v>
      </c>
      <c r="G21" s="20">
        <f>AVERAGE(F21, 'Exhibit 3.1'!F21)</f>
        <v>0.6867681355197518</v>
      </c>
      <c r="H21" s="61"/>
      <c r="I21" s="23"/>
    </row>
    <row r="22" spans="1:9">
      <c r="A22" s="54"/>
      <c r="B22" s="19">
        <f t="shared" si="1"/>
        <v>2000</v>
      </c>
      <c r="C22" s="21">
        <f>'Exhibit 1'!$C19/'Exhibit 1'!$B19</f>
        <v>0.58393073141390761</v>
      </c>
      <c r="D22" s="121">
        <f ca="1">INDEX('Exhibit 2.5.2'!$B$26:$V$26,COUNT($B22:$B$24))</f>
        <v>1.0016666666666667</v>
      </c>
      <c r="E22" s="350">
        <v>1.01919523246719</v>
      </c>
      <c r="F22" s="23">
        <f t="shared" si="0"/>
        <v>0.59513941754813382</v>
      </c>
      <c r="G22" s="20">
        <f>AVERAGE(F22, 'Exhibit 3.1'!F22)</f>
        <v>0.59513941754813382</v>
      </c>
      <c r="H22" s="61"/>
      <c r="I22" s="20"/>
    </row>
    <row r="23" spans="1:9">
      <c r="A23" s="54"/>
      <c r="B23" s="19">
        <f t="shared" si="1"/>
        <v>2001</v>
      </c>
      <c r="C23" s="21">
        <f>'Exhibit 1'!$C20/'Exhibit 1'!$B20</f>
        <v>0.48375758376054606</v>
      </c>
      <c r="D23" s="121">
        <f ca="1">INDEX('Exhibit 2.5.2'!$B$26:$V$26,COUNT($B23:$B$24))</f>
        <v>1.002</v>
      </c>
      <c r="E23" s="350">
        <v>1.0212336229321244</v>
      </c>
      <c r="F23" s="20">
        <f t="shared" si="0"/>
        <v>0.49402950988467309</v>
      </c>
      <c r="G23" s="20">
        <f>AVERAGE(F23, 'Exhibit 3.1'!F23)</f>
        <v>0.49402950988467309</v>
      </c>
      <c r="H23" s="61"/>
      <c r="I23" s="20"/>
    </row>
    <row r="24" spans="1:9">
      <c r="A24" s="54"/>
      <c r="B24" s="19">
        <f t="shared" si="1"/>
        <v>2002</v>
      </c>
      <c r="C24" s="21">
        <f>'Exhibit 1'!$C21/'Exhibit 1'!$B21</f>
        <v>0.36030590034144927</v>
      </c>
      <c r="D24" s="121">
        <f ca="1">INDEX('Exhibit 2.5.2'!$B$26:$V$26,COUNT($B24:$B$24))</f>
        <v>1.002</v>
      </c>
      <c r="E24" s="350">
        <v>1.0232760901779887</v>
      </c>
      <c r="F24" s="20">
        <f t="shared" si="0"/>
        <v>0.36869241296945826</v>
      </c>
      <c r="G24" s="20">
        <f>AVERAGE(F24, 'Exhibit 3.1'!F24)</f>
        <v>0.36869241296945826</v>
      </c>
      <c r="H24" s="61"/>
      <c r="I24" s="20"/>
    </row>
    <row r="25" spans="1:9">
      <c r="A25" s="54"/>
      <c r="B25" s="19">
        <f t="shared" si="1"/>
        <v>2003</v>
      </c>
      <c r="C25" s="21">
        <f>'Exhibit 1'!$C22/'Exhibit 1'!$B22</f>
        <v>0.238095877880527</v>
      </c>
      <c r="D25" s="20">
        <f ca="1">INDEX('Exhibit 2.5.1'!$B$33:$V$33,COUNT($B25:$B$45))</f>
        <v>1.002</v>
      </c>
      <c r="E25" s="350">
        <v>1.0253226423583446</v>
      </c>
      <c r="F25" s="20">
        <f t="shared" si="0"/>
        <v>0.24412509464309168</v>
      </c>
      <c r="G25" s="20">
        <f>AVERAGE(F25, 'Exhibit 3.1'!F25)</f>
        <v>0.24412509464309168</v>
      </c>
      <c r="H25" s="61"/>
      <c r="I25" s="20"/>
    </row>
    <row r="26" spans="1:9">
      <c r="A26" s="54"/>
      <c r="B26" s="19">
        <f t="shared" si="1"/>
        <v>2004</v>
      </c>
      <c r="C26" s="21">
        <f>'Exhibit 1'!$C23/'Exhibit 1'!$B23</f>
        <v>0.14136386325234609</v>
      </c>
      <c r="D26" s="20">
        <f ca="1">INDEX('Exhibit 2.5.1'!$B$33:$V$33,COUNT($B26:$B$45))</f>
        <v>1.0026666666666666</v>
      </c>
      <c r="E26" s="350">
        <v>1.0280568360713001</v>
      </c>
      <c r="F26" s="20">
        <f t="shared" si="0"/>
        <v>0.14533008599002284</v>
      </c>
      <c r="G26" s="20">
        <f>AVERAGE(F26, 'Exhibit 3.1'!F26)</f>
        <v>0.14533008599002284</v>
      </c>
      <c r="H26" s="61"/>
      <c r="I26" s="20"/>
    </row>
    <row r="27" spans="1:9">
      <c r="A27" s="54"/>
      <c r="B27" s="19">
        <f t="shared" si="1"/>
        <v>2005</v>
      </c>
      <c r="C27" s="21">
        <f>'Exhibit 1'!$C24/'Exhibit 1'!$B24</f>
        <v>0.12094393960880663</v>
      </c>
      <c r="D27" s="20">
        <f ca="1">INDEX('Exhibit 2.5.1'!$B$33:$V$33,COUNT($B27:$B$45))</f>
        <v>1.0029999999999999</v>
      </c>
      <c r="E27" s="350">
        <v>1.0311410065795139</v>
      </c>
      <c r="F27" s="20">
        <f t="shared" si="0"/>
        <v>0.12471025562791681</v>
      </c>
      <c r="G27" s="20">
        <f>AVERAGE(F27, 'Exhibit 3.1'!F27)</f>
        <v>0.12471025562791681</v>
      </c>
      <c r="H27" s="61"/>
      <c r="I27" s="20"/>
    </row>
    <row r="28" spans="1:9">
      <c r="A28" s="54"/>
      <c r="B28" s="19">
        <f t="shared" si="1"/>
        <v>2006</v>
      </c>
      <c r="C28" s="21">
        <f>'Exhibit 1'!$C25/'Exhibit 1'!$B25</f>
        <v>0.15580868649353485</v>
      </c>
      <c r="D28" s="20">
        <f ca="1">INDEX('Exhibit 2.5.1'!$B$33:$V$33,COUNT($B28:$B$45))</f>
        <v>1.004</v>
      </c>
      <c r="E28" s="350">
        <v>1.035265570605832</v>
      </c>
      <c r="F28" s="20">
        <f t="shared" si="0"/>
        <v>0.16130336872807455</v>
      </c>
      <c r="G28" s="20">
        <f>AVERAGE(F28, 'Exhibit 3.1'!F28)</f>
        <v>0.16130336872807455</v>
      </c>
      <c r="H28" s="61"/>
      <c r="I28" s="20"/>
    </row>
    <row r="29" spans="1:9">
      <c r="A29" s="54"/>
      <c r="B29" s="19">
        <f t="shared" si="1"/>
        <v>2007</v>
      </c>
      <c r="C29" s="21">
        <f>'Exhibit 1'!$C26/'Exhibit 1'!$B26</f>
        <v>0.21360470161332984</v>
      </c>
      <c r="D29" s="20">
        <f ca="1">INDEX('Exhibit 2.5.1'!$B$33:$V$33,COUNT($B29:$B$45))</f>
        <v>1.0046666666666666</v>
      </c>
      <c r="E29" s="350">
        <v>1.0400968099353258</v>
      </c>
      <c r="F29" s="20">
        <f t="shared" si="0"/>
        <v>0.22216956873521151</v>
      </c>
      <c r="G29" s="20">
        <f>AVERAGE(F29, 'Exhibit 3.1'!F29)</f>
        <v>0.22216956873521151</v>
      </c>
      <c r="H29" s="61"/>
      <c r="I29" s="20"/>
    </row>
    <row r="30" spans="1:9">
      <c r="A30" s="54"/>
      <c r="B30" s="19">
        <f t="shared" si="1"/>
        <v>2008</v>
      </c>
      <c r="C30" s="21">
        <f>'Exhibit 1'!$C27/'Exhibit 1'!$B27</f>
        <v>0.26889328628833742</v>
      </c>
      <c r="D30" s="20">
        <f ca="1">INDEX('Exhibit 2.5.1'!$B$33:$V$33,COUNT($B30:$B$45))</f>
        <v>1.0053333333333334</v>
      </c>
      <c r="E30" s="350">
        <v>1.0456439929216477</v>
      </c>
      <c r="F30" s="20">
        <f t="shared" si="0"/>
        <v>0.28116664954436088</v>
      </c>
      <c r="G30" s="20">
        <f>AVERAGE(F30, 'Exhibit 3.1'!F30)</f>
        <v>0.28116664954436088</v>
      </c>
      <c r="H30" s="61"/>
      <c r="I30" s="20"/>
    </row>
    <row r="31" spans="1:9">
      <c r="A31" s="54"/>
      <c r="B31" s="19">
        <f t="shared" si="1"/>
        <v>2009</v>
      </c>
      <c r="C31" s="21">
        <f>'Exhibit 1'!$C28/'Exhibit 1'!$B28</f>
        <v>0.31326917523816949</v>
      </c>
      <c r="D31" s="20">
        <f ca="1">INDEX('Exhibit 2.5.1'!$B$33:$V$33,COUNT($B31:$B$45))</f>
        <v>1.0063333333333333</v>
      </c>
      <c r="E31" s="350">
        <v>1.052266404876818</v>
      </c>
      <c r="F31" s="20">
        <f t="shared" si="0"/>
        <v>0.3296426287865945</v>
      </c>
      <c r="G31" s="20">
        <f>AVERAGE(F31, 'Exhibit 3.1'!F31)</f>
        <v>0.3296426287865945</v>
      </c>
      <c r="H31" s="61"/>
      <c r="I31" s="20"/>
    </row>
    <row r="32" spans="1:9">
      <c r="A32" s="54"/>
      <c r="B32" s="19">
        <f t="shared" si="1"/>
        <v>2010</v>
      </c>
      <c r="C32" s="21">
        <f>'Exhibit 1'!$C29/'Exhibit 1'!$B29</f>
        <v>0.29887184185456495</v>
      </c>
      <c r="D32" s="20">
        <f ca="1">INDEX('Exhibit 2.5.1'!$B$33:$V$33,COUNT($B32:$B$45))</f>
        <v>1.0073333333333332</v>
      </c>
      <c r="E32" s="350">
        <v>1.0599830251792479</v>
      </c>
      <c r="F32" s="20">
        <f t="shared" si="0"/>
        <v>0.31679907906989552</v>
      </c>
      <c r="G32" s="20">
        <f>AVERAGE(F32, 'Exhibit 3.1'!F32)</f>
        <v>0.31679907906989552</v>
      </c>
      <c r="H32" s="61"/>
      <c r="I32" s="20"/>
    </row>
    <row r="33" spans="1:9">
      <c r="A33" s="54"/>
      <c r="B33" s="19">
        <f t="shared" si="1"/>
        <v>2011</v>
      </c>
      <c r="C33" s="21">
        <f>'Exhibit 1'!$C30/'Exhibit 1'!$B30</f>
        <v>0.27471027400963283</v>
      </c>
      <c r="D33" s="20">
        <f ca="1">INDEX('Exhibit 2.5.1'!$B$33:$V$33,COUNT($B33:$B$45))</f>
        <v>1.0086666666666666</v>
      </c>
      <c r="E33" s="350">
        <v>1.0691695447308014</v>
      </c>
      <c r="F33" s="20">
        <f t="shared" si="0"/>
        <v>0.29371185859575283</v>
      </c>
      <c r="G33" s="20">
        <f>AVERAGE(F33, 'Exhibit 3.1'!F33)</f>
        <v>0.29371185859575283</v>
      </c>
      <c r="H33" s="61"/>
      <c r="I33" s="20"/>
    </row>
    <row r="34" spans="1:9">
      <c r="A34" s="54"/>
      <c r="B34" s="19">
        <f t="shared" si="1"/>
        <v>2012</v>
      </c>
      <c r="C34" s="21">
        <f>'Exhibit 1'!$C31/'Exhibit 1'!$B31</f>
        <v>0.24409104159624048</v>
      </c>
      <c r="D34" s="20">
        <f ca="1">INDEX('Exhibit 2.5.1'!$B$33:$V$33,COUNT($B34:$B$45))</f>
        <v>1.0106666666666666</v>
      </c>
      <c r="E34" s="350">
        <v>1.0805740198745966</v>
      </c>
      <c r="F34" s="20">
        <f t="shared" si="0"/>
        <v>0.26375843803302695</v>
      </c>
      <c r="G34" s="20">
        <f>AVERAGE(F34, 'Exhibit 3.1'!F34)</f>
        <v>0.26375843803302695</v>
      </c>
      <c r="H34" s="61"/>
      <c r="I34" s="20"/>
    </row>
    <row r="35" spans="1:9">
      <c r="A35" s="54"/>
      <c r="B35" s="19">
        <f t="shared" si="1"/>
        <v>2013</v>
      </c>
      <c r="C35" s="21">
        <f>'Exhibit 1'!$C32/'Exhibit 1'!$B32</f>
        <v>0.20477451731897101</v>
      </c>
      <c r="D35" s="20">
        <f ca="1">INDEX('Exhibit 2.5.1'!$B$33:$V$33,COUNT($B35:$B$45))</f>
        <v>1.0113333333333334</v>
      </c>
      <c r="E35" s="350">
        <v>1.0928205254331753</v>
      </c>
      <c r="F35" s="20">
        <f t="shared" si="0"/>
        <v>0.22378179561184275</v>
      </c>
      <c r="G35" s="20">
        <f>AVERAGE(F35, 'Exhibit 3.1'!F35)</f>
        <v>0.22378179561184275</v>
      </c>
      <c r="H35" s="61"/>
      <c r="I35" s="20"/>
    </row>
    <row r="36" spans="1:9">
      <c r="A36" s="54"/>
      <c r="B36" s="19">
        <f t="shared" si="1"/>
        <v>2014</v>
      </c>
      <c r="C36" s="21">
        <f>'Exhibit 1'!$C33/'Exhibit 1'!$B33</f>
        <v>0.19237225832530694</v>
      </c>
      <c r="D36" s="20">
        <f ca="1">INDEX('Exhibit 2.5.1'!$B$33:$V$33,COUNT($B36:$B$45))</f>
        <v>1.0136666666666667</v>
      </c>
      <c r="E36" s="350">
        <v>1.1077557392807622</v>
      </c>
      <c r="F36" s="20">
        <f t="shared" si="0"/>
        <v>0.21310147323826015</v>
      </c>
      <c r="G36" s="20">
        <f ca="1">AVERAGE(F36, 'Exhibit 3.1'!F36)</f>
        <v>0.21310147323826015</v>
      </c>
      <c r="H36" s="61"/>
      <c r="I36" s="20"/>
    </row>
    <row r="37" spans="1:9">
      <c r="A37" s="54"/>
      <c r="B37" s="19">
        <f t="shared" si="1"/>
        <v>2015</v>
      </c>
      <c r="C37" s="121">
        <f>('Exhibit 1'!$C34+'Exhibit 1'!$D34)/'Exhibit 1'!$B34</f>
        <v>0.19404602681032665</v>
      </c>
      <c r="D37" s="121">
        <f>INDEX('Exhibit 2.5.1'!$B$53:$V$53,COUNT($B37:$B$45))</f>
        <v>1.0085</v>
      </c>
      <c r="E37" s="21">
        <f ca="1">INDEX('Exhibit 2.5.1'!$B$54:$V$54,COUNT($B37:$B$45))</f>
        <v>1.0684746708420023</v>
      </c>
      <c r="F37" s="20">
        <f t="shared" ca="1" si="0"/>
        <v>0.20733326462436213</v>
      </c>
      <c r="G37" s="20">
        <f ca="1">AVERAGE(F37, 'Exhibit 3.1'!F37)</f>
        <v>0.20771037367375639</v>
      </c>
      <c r="H37" s="61"/>
      <c r="I37" s="20"/>
    </row>
    <row r="38" spans="1:9">
      <c r="A38" s="54"/>
      <c r="B38" s="19">
        <f t="shared" si="1"/>
        <v>2016</v>
      </c>
      <c r="C38" s="121">
        <f>('Exhibit 1'!$C35+'Exhibit 1'!$D35)/'Exhibit 1'!$B35</f>
        <v>0.18326218761158355</v>
      </c>
      <c r="D38" s="121">
        <f ca="1">INDEX('Exhibit 2.5.1'!$B$53:$V$53,COUNT($B38:$B$45))</f>
        <v>1.008</v>
      </c>
      <c r="E38" s="21">
        <f ca="1">INDEX('Exhibit 2.5.1'!$B$54:$V$54,COUNT($B38:$B$45))</f>
        <v>1.0770224682087384</v>
      </c>
      <c r="F38" s="20">
        <f t="shared" ca="1" si="0"/>
        <v>0.1973774936307606</v>
      </c>
      <c r="G38" s="20">
        <f ca="1">AVERAGE(F38, 'Exhibit 3.1'!F38)</f>
        <v>0.1976455617135803</v>
      </c>
      <c r="H38" s="61"/>
      <c r="I38" s="20"/>
    </row>
    <row r="39" spans="1:9">
      <c r="A39" s="54"/>
      <c r="B39" s="19">
        <f t="shared" si="1"/>
        <v>2017</v>
      </c>
      <c r="C39" s="121">
        <f>('Exhibit 1'!$C36+'Exhibit 1'!$D36)/'Exhibit 1'!$B36</f>
        <v>0.18723717131384127</v>
      </c>
      <c r="D39" s="121">
        <f ca="1">INDEX('Exhibit 2.5.1'!$B$53:$V$53,COUNT($B39:$B$45))</f>
        <v>1.0109999999999999</v>
      </c>
      <c r="E39" s="21">
        <f ca="1">INDEX('Exhibit 2.5.1'!$B$54:$V$54,COUNT($B39:$B$45))</f>
        <v>1.0888697153590343</v>
      </c>
      <c r="F39" s="20">
        <f t="shared" ca="1" si="0"/>
        <v>0.20387688543313309</v>
      </c>
      <c r="G39" s="20">
        <f ca="1">AVERAGE(F39, 'Exhibit 3.1'!F39)</f>
        <v>0.2035207061064509</v>
      </c>
      <c r="H39" s="61"/>
      <c r="I39" s="20"/>
    </row>
    <row r="40" spans="1:9">
      <c r="A40" s="54"/>
      <c r="B40" s="19">
        <f t="shared" si="1"/>
        <v>2018</v>
      </c>
      <c r="C40" s="121">
        <f>('Exhibit 1'!$C37+'Exhibit 1'!$D37)/'Exhibit 1'!$B37</f>
        <v>0.19704385383670792</v>
      </c>
      <c r="D40" s="121">
        <f ca="1">INDEX('Exhibit 2.5.1'!$B$53:$V$53,COUNT($B40:$B$45))</f>
        <v>1.016</v>
      </c>
      <c r="E40" s="21">
        <f ca="1">INDEX('Exhibit 2.5.1'!$B$54:$V$54,COUNT($B40:$B$45))</f>
        <v>1.106291630804779</v>
      </c>
      <c r="F40" s="20">
        <f t="shared" ca="1" si="0"/>
        <v>0.2179879664010701</v>
      </c>
      <c r="G40" s="20">
        <f ca="1">AVERAGE(F40, 'Exhibit 3.1'!F40)</f>
        <v>0.21749531662234506</v>
      </c>
      <c r="H40" s="61"/>
      <c r="I40" s="20"/>
    </row>
    <row r="41" spans="1:9">
      <c r="A41" s="54"/>
      <c r="B41" s="19">
        <f t="shared" si="1"/>
        <v>2019</v>
      </c>
      <c r="C41" s="121">
        <f>('Exhibit 1'!$C38+'Exhibit 1'!$D38)/'Exhibit 1'!$B38</f>
        <v>0.22592152914695493</v>
      </c>
      <c r="D41" s="121">
        <f ca="1">INDEX('Exhibit 2.5.1'!$B$53:$V$53,COUNT($B41:$B$45))</f>
        <v>1.028</v>
      </c>
      <c r="E41" s="21">
        <f ca="1">INDEX('Exhibit 2.5.1'!$B$54:$V$54,COUNT($B41:$B$45))</f>
        <v>1.1372677964673128</v>
      </c>
      <c r="F41" s="20">
        <f t="shared" ca="1" si="0"/>
        <v>0.25693327962748319</v>
      </c>
      <c r="G41" s="20">
        <f ca="1">AVERAGE(F41, 'Exhibit 3.1'!F41)</f>
        <v>0.25595168133384738</v>
      </c>
      <c r="H41" s="61"/>
      <c r="I41" s="20"/>
    </row>
    <row r="42" spans="1:9">
      <c r="A42" s="54"/>
      <c r="B42" s="19">
        <f t="shared" si="1"/>
        <v>2020</v>
      </c>
      <c r="C42" s="121">
        <f>('Exhibit 1'!$C39+'Exhibit 1'!$D39)/'Exhibit 1'!$B39</f>
        <v>0.22498954127462908</v>
      </c>
      <c r="D42" s="121">
        <f ca="1">INDEX('Exhibit 2.5.1'!$B$53:$V$53,COUNT($B42:$B$45))</f>
        <v>1.052</v>
      </c>
      <c r="E42" s="21">
        <f ca="1">INDEX('Exhibit 2.5.1'!$B$54:$V$54,COUNT($B42:$B$45))</f>
        <v>1.196405721883613</v>
      </c>
      <c r="F42" s="20">
        <f t="shared" ca="1" si="0"/>
        <v>0.26917877454493555</v>
      </c>
      <c r="G42" s="20">
        <f ca="1">AVERAGE(F42, 'Exhibit 3.1'!F42)</f>
        <v>0.26890716984262936</v>
      </c>
      <c r="H42" s="61"/>
      <c r="I42" s="20"/>
    </row>
    <row r="43" spans="1:9">
      <c r="A43" s="54"/>
      <c r="B43" s="19">
        <f t="shared" si="1"/>
        <v>2021</v>
      </c>
      <c r="C43" s="121">
        <f>('Exhibit 1'!$C40+'Exhibit 1'!$D40)/'Exhibit 1'!$B40</f>
        <v>0.23315271276096827</v>
      </c>
      <c r="D43" s="121">
        <f ca="1">INDEX('Exhibit 2.5.1'!$B$53:$V$53,COUNT($B43:$B$45))</f>
        <v>1.1100000000000001</v>
      </c>
      <c r="E43" s="21">
        <f ca="1">INDEX('Exhibit 2.5.1'!$B$54:$V$54,COUNT($B43:$B$45))</f>
        <v>1.3280103512908106</v>
      </c>
      <c r="F43" s="20">
        <f t="shared" ca="1" si="0"/>
        <v>0.30962921597809895</v>
      </c>
      <c r="G43" s="20">
        <f ca="1">AVERAGE(F43, 'Exhibit 3.1'!F43)</f>
        <v>0.31018208035741612</v>
      </c>
      <c r="H43" s="61"/>
      <c r="I43" s="20"/>
    </row>
    <row r="44" spans="1:9">
      <c r="A44" s="54"/>
      <c r="B44" s="19">
        <f t="shared" si="1"/>
        <v>2022</v>
      </c>
      <c r="C44" s="121">
        <f>('Exhibit 1'!$C41+'Exhibit 1'!$D41)/'Exhibit 1'!$B41</f>
        <v>0.18342967903704704</v>
      </c>
      <c r="D44" s="121">
        <f ca="1">INDEX('Exhibit 2.5.1'!$B$53:$V$53,COUNT($B44:$B$45))</f>
        <v>1.2529999999999999</v>
      </c>
      <c r="E44" s="21">
        <f ca="1">INDEX('Exhibit 2.5.1'!$B$54:$V$54,COUNT($B44:$B$45))</f>
        <v>1.6639969701673856</v>
      </c>
      <c r="F44" s="20">
        <f t="shared" ca="1" si="0"/>
        <v>0.30522643015642226</v>
      </c>
      <c r="G44" s="20">
        <f ca="1">AVERAGE(F44, 'Exhibit 3.1'!F44)</f>
        <v>0.30806896857057919</v>
      </c>
      <c r="H44" s="61"/>
      <c r="I44" s="20"/>
    </row>
    <row r="45" spans="1:9">
      <c r="A45" s="54"/>
      <c r="B45" s="19">
        <f t="shared" si="1"/>
        <v>2023</v>
      </c>
      <c r="C45" s="121">
        <f>('Exhibit 1'!$C42+'Exhibit 1'!$D42)/'Exhibit 1'!$B42</f>
        <v>9.4828112773951978E-2</v>
      </c>
      <c r="D45" s="121">
        <f ca="1">INDEX('Exhibit 2.5.1'!$B$53:$V$53,COUNT($B45:$B$45))</f>
        <v>1.94</v>
      </c>
      <c r="E45" s="21">
        <f ca="1">INDEX('Exhibit 2.5.1'!$B$54:$V$54,COUNT($B45:$B$45))</f>
        <v>3.2281541221247281</v>
      </c>
      <c r="F45" s="20">
        <f t="shared" ca="1" si="0"/>
        <v>0.30611976314454165</v>
      </c>
      <c r="G45" s="20">
        <f ca="1">AVERAGE(F45, 'Exhibit 3.1'!F45)</f>
        <v>0.31226631027826723</v>
      </c>
      <c r="H45" s="61"/>
      <c r="I45" s="20"/>
    </row>
    <row r="46" spans="1:9">
      <c r="A46" s="54"/>
      <c r="B46" s="19"/>
      <c r="C46" s="20"/>
      <c r="D46" s="20"/>
      <c r="E46" s="97"/>
      <c r="F46" s="20"/>
      <c r="G46" s="54"/>
      <c r="H46" s="54"/>
      <c r="I46" s="54"/>
    </row>
    <row r="47" spans="1:9" ht="12.75" customHeight="1">
      <c r="A47" s="54"/>
      <c r="B47" s="31" t="s">
        <v>22</v>
      </c>
      <c r="C47" s="104" t="s">
        <v>462</v>
      </c>
      <c r="D47" s="216"/>
      <c r="E47" s="216"/>
      <c r="F47" s="216"/>
      <c r="G47" s="54"/>
      <c r="H47" s="54"/>
      <c r="I47" s="54"/>
    </row>
    <row r="48" spans="1:9" ht="12.75" customHeight="1">
      <c r="A48" s="54"/>
      <c r="B48" s="31"/>
      <c r="C48" s="104" t="s">
        <v>463</v>
      </c>
      <c r="D48" s="216"/>
      <c r="E48" s="216"/>
      <c r="F48" s="216"/>
      <c r="G48" s="54"/>
      <c r="H48" s="54"/>
      <c r="I48" s="54"/>
    </row>
    <row r="49" spans="1:9">
      <c r="A49" s="54"/>
      <c r="B49" s="31" t="s">
        <v>26</v>
      </c>
      <c r="C49" s="131" t="s">
        <v>230</v>
      </c>
      <c r="D49" s="166"/>
      <c r="E49" s="323"/>
      <c r="F49" s="323"/>
      <c r="G49" s="54"/>
      <c r="H49" s="54"/>
      <c r="I49" s="54"/>
    </row>
    <row r="50" spans="1:9">
      <c r="A50" s="54"/>
      <c r="B50" s="31" t="s">
        <v>34</v>
      </c>
      <c r="C50" s="131" t="s">
        <v>390</v>
      </c>
      <c r="D50" s="166"/>
      <c r="E50" s="323"/>
      <c r="F50" s="323"/>
      <c r="G50" s="54"/>
      <c r="H50" s="54"/>
      <c r="I50" s="54"/>
    </row>
    <row r="51" spans="1:9">
      <c r="C51" s="53" t="s">
        <v>391</v>
      </c>
    </row>
  </sheetData>
  <mergeCells count="3">
    <mergeCell ref="D4:E4"/>
    <mergeCell ref="A1:H1"/>
    <mergeCell ref="B2:G2"/>
  </mergeCells>
  <printOptions horizontalCentered="1"/>
  <pageMargins left="0.5" right="0.5" top="0.75" bottom="0.75" header="0.33" footer="0.33"/>
  <pageSetup orientation="portrait" blackAndWhite="1" r:id="rId1"/>
  <headerFooter scaleWithDoc="0">
    <oddHeader>&amp;R&amp;"Arial,Regular"&amp;10Exhibit 3.2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53"/>
  <sheetViews>
    <sheetView zoomScale="115" zoomScaleNormal="115" zoomScaleSheetLayoutView="100" workbookViewId="0"/>
  </sheetViews>
  <sheetFormatPr defaultColWidth="9.140625" defaultRowHeight="12.75"/>
  <cols>
    <col min="1" max="1" width="12.85546875" style="53" customWidth="1"/>
    <col min="2" max="3" width="15" style="54" customWidth="1"/>
    <col min="4" max="7" width="13.140625" style="54" customWidth="1"/>
    <col min="8" max="8" width="5.85546875" style="53" customWidth="1"/>
    <col min="9" max="16384" width="9.140625" style="53"/>
  </cols>
  <sheetData>
    <row r="1" spans="1:8">
      <c r="A1" s="99" t="s">
        <v>375</v>
      </c>
      <c r="B1" s="99"/>
      <c r="C1" s="99"/>
      <c r="D1" s="99"/>
      <c r="E1" s="99"/>
      <c r="F1" s="99"/>
      <c r="G1" s="99"/>
      <c r="H1" s="162"/>
    </row>
    <row r="2" spans="1:8">
      <c r="A2" s="99" t="s">
        <v>492</v>
      </c>
      <c r="B2" s="99"/>
      <c r="C2" s="99"/>
      <c r="D2" s="99"/>
      <c r="E2" s="99"/>
      <c r="F2" s="99"/>
      <c r="G2" s="99"/>
      <c r="H2" s="162"/>
    </row>
    <row r="3" spans="1:8">
      <c r="A3" s="28"/>
      <c r="B3" s="27"/>
      <c r="C3" s="27"/>
      <c r="D3" s="27"/>
      <c r="E3" s="27"/>
      <c r="F3" s="27"/>
      <c r="G3" s="28"/>
      <c r="H3" s="54"/>
    </row>
    <row r="4" spans="1:8">
      <c r="A4" s="28"/>
      <c r="B4" s="29" t="s">
        <v>38</v>
      </c>
      <c r="C4" s="29" t="s">
        <v>39</v>
      </c>
      <c r="D4" s="29" t="s">
        <v>40</v>
      </c>
      <c r="E4" s="29" t="s">
        <v>41</v>
      </c>
      <c r="F4" s="29" t="s">
        <v>42</v>
      </c>
      <c r="G4" s="29" t="s">
        <v>43</v>
      </c>
      <c r="H4" s="54"/>
    </row>
    <row r="5" spans="1:8">
      <c r="A5" s="28"/>
      <c r="B5" s="28"/>
      <c r="C5" s="437" t="s">
        <v>236</v>
      </c>
      <c r="D5" s="437"/>
      <c r="E5" s="437"/>
      <c r="F5" s="437"/>
      <c r="G5" s="437"/>
      <c r="H5" s="54"/>
    </row>
    <row r="6" spans="1:8">
      <c r="A6" s="54"/>
      <c r="D6" s="438" t="s">
        <v>37</v>
      </c>
      <c r="E6" s="438"/>
      <c r="H6" s="54"/>
    </row>
    <row r="7" spans="1:8">
      <c r="A7" s="28"/>
      <c r="B7" s="28"/>
      <c r="C7" s="28" t="s">
        <v>44</v>
      </c>
      <c r="E7" s="176"/>
      <c r="F7" s="28" t="s">
        <v>44</v>
      </c>
      <c r="G7" s="28" t="s">
        <v>45</v>
      </c>
      <c r="H7" s="54"/>
    </row>
    <row r="8" spans="1:8">
      <c r="A8" s="28" t="s">
        <v>46</v>
      </c>
      <c r="B8" s="28" t="s">
        <v>278</v>
      </c>
      <c r="C8" s="28" t="s">
        <v>278</v>
      </c>
      <c r="E8" s="175"/>
      <c r="F8" s="28" t="s">
        <v>244</v>
      </c>
      <c r="G8" s="28" t="s">
        <v>47</v>
      </c>
      <c r="H8" s="54"/>
    </row>
    <row r="9" spans="1:8">
      <c r="A9" s="30" t="s">
        <v>8</v>
      </c>
      <c r="B9" s="30" t="s">
        <v>256</v>
      </c>
      <c r="C9" s="30" t="s">
        <v>245</v>
      </c>
      <c r="D9" s="30" t="s">
        <v>269</v>
      </c>
      <c r="E9" s="30" t="s">
        <v>312</v>
      </c>
      <c r="F9" s="30" t="s">
        <v>246</v>
      </c>
      <c r="G9" s="30" t="s">
        <v>48</v>
      </c>
      <c r="H9" s="54"/>
    </row>
    <row r="10" spans="1:8">
      <c r="A10" s="28"/>
      <c r="B10" s="31"/>
      <c r="C10" s="28"/>
      <c r="D10" s="28"/>
      <c r="E10" s="28"/>
      <c r="F10" s="28" t="s">
        <v>279</v>
      </c>
      <c r="G10" s="28" t="s">
        <v>280</v>
      </c>
      <c r="H10" s="54"/>
    </row>
    <row r="11" spans="1:8">
      <c r="A11" s="19">
        <v>1987</v>
      </c>
      <c r="B11" s="23">
        <f>'Exhibit 1'!$E6/'Exhibit 1'!$B6</f>
        <v>0.30800967778309751</v>
      </c>
      <c r="C11" s="350">
        <v>0.27301027696919089</v>
      </c>
      <c r="D11" s="350">
        <v>1.0016666666666667</v>
      </c>
      <c r="E11" s="350">
        <v>1.0515322242813736</v>
      </c>
      <c r="F11" s="23">
        <f t="shared" ref="F11:F47" si="0">C11*E11</f>
        <v>0.28707910379308715</v>
      </c>
      <c r="G11" s="23">
        <f t="shared" ref="G11:G47" si="1">B11+F11-C11</f>
        <v>0.32207850460699383</v>
      </c>
      <c r="H11" s="54"/>
    </row>
    <row r="12" spans="1:8">
      <c r="A12" s="19">
        <f t="shared" ref="A12:A38" si="2">+A11+1</f>
        <v>1988</v>
      </c>
      <c r="B12" s="23">
        <f>'Exhibit 1'!$E7/'Exhibit 1'!$B7</f>
        <v>0.30091971206663126</v>
      </c>
      <c r="C12" s="363">
        <v>0.26688216124527464</v>
      </c>
      <c r="D12" s="350">
        <v>1.0021077706899972</v>
      </c>
      <c r="E12" s="363">
        <v>1.0537486130833016</v>
      </c>
      <c r="F12" s="23">
        <f t="shared" si="0"/>
        <v>0.28122670726888221</v>
      </c>
      <c r="G12" s="23">
        <f t="shared" si="1"/>
        <v>0.31526425809023884</v>
      </c>
      <c r="H12" s="54"/>
    </row>
    <row r="13" spans="1:8">
      <c r="A13" s="19">
        <f t="shared" si="2"/>
        <v>1989</v>
      </c>
      <c r="B13" s="23">
        <f>'Exhibit 1'!$E8/'Exhibit 1'!$B8</f>
        <v>0.32018535765375156</v>
      </c>
      <c r="C13" s="363">
        <v>0.28391721767181438</v>
      </c>
      <c r="D13" s="350">
        <v>1.0021343581340802</v>
      </c>
      <c r="E13" s="363">
        <v>1.0559976900069117</v>
      </c>
      <c r="F13" s="23">
        <f t="shared" si="0"/>
        <v>0.29981592601462553</v>
      </c>
      <c r="G13" s="23">
        <f t="shared" si="1"/>
        <v>0.33608406599656265</v>
      </c>
      <c r="H13" s="54"/>
    </row>
    <row r="14" spans="1:8">
      <c r="A14" s="19">
        <f t="shared" si="2"/>
        <v>1990</v>
      </c>
      <c r="B14" s="23">
        <f>'Exhibit 1'!$E9/'Exhibit 1'!$B9</f>
        <v>0.36160488451372536</v>
      </c>
      <c r="C14" s="363">
        <v>0.32071184179917106</v>
      </c>
      <c r="D14" s="350">
        <v>1.0030442291470931</v>
      </c>
      <c r="E14" s="363">
        <v>1.0592123889540936</v>
      </c>
      <c r="F14" s="23">
        <f t="shared" si="0"/>
        <v>0.33970195611796733</v>
      </c>
      <c r="G14" s="23">
        <f t="shared" si="1"/>
        <v>0.38059499883252162</v>
      </c>
      <c r="H14" s="54"/>
    </row>
    <row r="15" spans="1:8">
      <c r="A15" s="19">
        <f t="shared" si="2"/>
        <v>1991</v>
      </c>
      <c r="B15" s="23">
        <f>'Exhibit 1'!$E10/'Exhibit 1'!$B10</f>
        <v>0.37840800096192723</v>
      </c>
      <c r="C15" s="363">
        <v>0.335821320548435</v>
      </c>
      <c r="D15" s="350">
        <v>1.00298628855317</v>
      </c>
      <c r="E15" s="363">
        <v>1.0623755027866031</v>
      </c>
      <c r="F15" s="23">
        <f t="shared" si="0"/>
        <v>0.35676834426410464</v>
      </c>
      <c r="G15" s="23">
        <f t="shared" si="1"/>
        <v>0.39935502467759681</v>
      </c>
      <c r="H15" s="54"/>
    </row>
    <row r="16" spans="1:8">
      <c r="A16" s="19">
        <f t="shared" si="2"/>
        <v>1992</v>
      </c>
      <c r="B16" s="23">
        <f>'Exhibit 1'!$E11/'Exhibit 1'!$B11</f>
        <v>0.31347894557305894</v>
      </c>
      <c r="C16" s="363">
        <v>0.27846797722696215</v>
      </c>
      <c r="D16" s="350">
        <v>1.0017645169980909</v>
      </c>
      <c r="E16" s="363">
        <v>1.0642500824196255</v>
      </c>
      <c r="F16" s="23">
        <f t="shared" si="0"/>
        <v>0.29635956771502087</v>
      </c>
      <c r="G16" s="23">
        <f t="shared" si="1"/>
        <v>0.33137053606111766</v>
      </c>
      <c r="H16" s="54"/>
    </row>
    <row r="17" spans="1:8">
      <c r="A17" s="19">
        <f t="shared" si="2"/>
        <v>1993</v>
      </c>
      <c r="B17" s="23">
        <f>'Exhibit 1'!$E12/'Exhibit 1'!$B12</f>
        <v>0.25778013997073224</v>
      </c>
      <c r="C17" s="363">
        <v>0.22894432824864755</v>
      </c>
      <c r="D17" s="350">
        <v>1.0030176080651863</v>
      </c>
      <c r="E17" s="363">
        <v>1.06746157205171</v>
      </c>
      <c r="F17" s="23">
        <f t="shared" si="0"/>
        <v>0.24438927254462403</v>
      </c>
      <c r="G17" s="23">
        <f t="shared" si="1"/>
        <v>0.27322508426670877</v>
      </c>
      <c r="H17" s="54"/>
    </row>
    <row r="18" spans="1:8">
      <c r="A18" s="19">
        <f t="shared" si="2"/>
        <v>1994</v>
      </c>
      <c r="B18" s="23">
        <f>'Exhibit 1'!$E13/'Exhibit 1'!$B13</f>
        <v>0.29613254267190225</v>
      </c>
      <c r="C18" s="363">
        <v>0.26330894791370152</v>
      </c>
      <c r="D18" s="350">
        <v>1.0019157987654361</v>
      </c>
      <c r="E18" s="363">
        <v>1.0695066136135971</v>
      </c>
      <c r="F18" s="23">
        <f t="shared" si="0"/>
        <v>0.28161066121734196</v>
      </c>
      <c r="G18" s="23">
        <f t="shared" si="1"/>
        <v>0.31443425597554275</v>
      </c>
      <c r="H18" s="54"/>
    </row>
    <row r="19" spans="1:8">
      <c r="A19" s="19">
        <f t="shared" si="2"/>
        <v>1995</v>
      </c>
      <c r="B19" s="23">
        <f>'Exhibit 1'!$E14/'Exhibit 1'!$B14</f>
        <v>0.43667702800504332</v>
      </c>
      <c r="C19" s="363">
        <v>0.3888049807709652</v>
      </c>
      <c r="D19" s="350">
        <v>1.0024158357582715</v>
      </c>
      <c r="E19" s="363">
        <v>1.0720903659344727</v>
      </c>
      <c r="F19" s="23">
        <f t="shared" si="0"/>
        <v>0.41683407411188972</v>
      </c>
      <c r="G19" s="23">
        <f t="shared" si="1"/>
        <v>0.46470612134596784</v>
      </c>
      <c r="H19" s="54"/>
    </row>
    <row r="20" spans="1:8">
      <c r="A20" s="19">
        <f t="shared" si="2"/>
        <v>1996</v>
      </c>
      <c r="B20" s="23">
        <f>'Exhibit 1'!$E15/'Exhibit 1'!$B15</f>
        <v>0.46761604165025222</v>
      </c>
      <c r="C20" s="363">
        <v>0.41634092168615677</v>
      </c>
      <c r="D20" s="350">
        <v>1.0034770549373906</v>
      </c>
      <c r="E20" s="363">
        <v>1.075818083034674</v>
      </c>
      <c r="F20" s="23">
        <f t="shared" si="0"/>
        <v>0.44790709225729047</v>
      </c>
      <c r="G20" s="23">
        <f t="shared" si="1"/>
        <v>0.49918221222138592</v>
      </c>
      <c r="H20" s="54"/>
    </row>
    <row r="21" spans="1:8">
      <c r="A21" s="19">
        <f t="shared" si="2"/>
        <v>1997</v>
      </c>
      <c r="B21" s="23">
        <f>'Exhibit 1'!$E16/'Exhibit 1'!$B16</f>
        <v>0.52327162835674623</v>
      </c>
      <c r="C21" s="363">
        <v>0.46598698404315164</v>
      </c>
      <c r="D21" s="350">
        <v>1.0033901507663119</v>
      </c>
      <c r="E21" s="363">
        <v>1.0794652685332862</v>
      </c>
      <c r="F21" s="23">
        <f t="shared" si="0"/>
        <v>0.50301676486315683</v>
      </c>
      <c r="G21" s="23">
        <f t="shared" si="1"/>
        <v>0.56030140917675131</v>
      </c>
      <c r="H21" s="54"/>
    </row>
    <row r="22" spans="1:8">
      <c r="A22" s="19">
        <f t="shared" si="2"/>
        <v>1998</v>
      </c>
      <c r="B22" s="23">
        <f>'Exhibit 1'!$E17/'Exhibit 1'!$B17</f>
        <v>0.62732499547472875</v>
      </c>
      <c r="C22" s="363">
        <v>0.56004142247985822</v>
      </c>
      <c r="D22" s="350">
        <v>1.0044197323455955</v>
      </c>
      <c r="E22" s="363">
        <v>1.0842362160965695</v>
      </c>
      <c r="F22" s="23">
        <f t="shared" si="0"/>
        <v>0.60721719276690178</v>
      </c>
      <c r="G22" s="23">
        <f t="shared" si="1"/>
        <v>0.67450076576177231</v>
      </c>
      <c r="H22" s="54"/>
    </row>
    <row r="23" spans="1:8">
      <c r="A23" s="19">
        <f t="shared" si="2"/>
        <v>1999</v>
      </c>
      <c r="B23" s="23">
        <f>'Exhibit 1'!$E18/'Exhibit 1'!$B18</f>
        <v>0.68267220450441579</v>
      </c>
      <c r="C23" s="363">
        <v>0.60997955951758875</v>
      </c>
      <c r="D23" s="121">
        <f ca="1">INDEX('Exhibit 2.6.2'!$B$26:$R$26,COUNT($A23:$A$27))</f>
        <v>1.0053333333333334</v>
      </c>
      <c r="E23" s="363">
        <v>1.0900188092490846</v>
      </c>
      <c r="F23" s="23">
        <f t="shared" si="0"/>
        <v>0.66488919313164319</v>
      </c>
      <c r="G23" s="23">
        <f t="shared" si="1"/>
        <v>0.73758183811847022</v>
      </c>
      <c r="H23" s="54"/>
    </row>
    <row r="24" spans="1:8">
      <c r="A24" s="19">
        <f t="shared" si="2"/>
        <v>2000</v>
      </c>
      <c r="B24" s="23">
        <f>'Exhibit 1'!$E19/'Exhibit 1'!$B19</f>
        <v>0.61484265432511542</v>
      </c>
      <c r="C24" s="363">
        <v>0.54988564719412458</v>
      </c>
      <c r="D24" s="121">
        <f ca="1">INDEX('Exhibit 2.6.2'!$B$26:$R$26,COUNT($A24:$A$27))</f>
        <v>1.0053333333333334</v>
      </c>
      <c r="E24" s="363">
        <v>1.0954689032953302</v>
      </c>
      <c r="F24" s="23">
        <f t="shared" si="0"/>
        <v>0.60238262686959054</v>
      </c>
      <c r="G24" s="23">
        <f t="shared" si="1"/>
        <v>0.66733963400058138</v>
      </c>
      <c r="H24" s="54"/>
    </row>
    <row r="25" spans="1:8">
      <c r="A25" s="19">
        <f t="shared" si="2"/>
        <v>2001</v>
      </c>
      <c r="B25" s="23">
        <f>'Exhibit 1'!$E20/'Exhibit 1'!$B20</f>
        <v>0.54252412956928153</v>
      </c>
      <c r="C25" s="363">
        <v>0.48720064596278501</v>
      </c>
      <c r="D25" s="121">
        <f ca="1">INDEX('Exhibit 2.6.2'!$B$26:$R$26,COUNT($A25:$A$27))</f>
        <v>1.0050000000000001</v>
      </c>
      <c r="E25" s="363">
        <v>1.1005810915107084</v>
      </c>
      <c r="F25" s="23">
        <f t="shared" si="0"/>
        <v>0.53620381871844414</v>
      </c>
      <c r="G25" s="23">
        <f t="shared" si="1"/>
        <v>0.59152730232494066</v>
      </c>
      <c r="H25" s="54"/>
    </row>
    <row r="26" spans="1:8">
      <c r="A26" s="19">
        <f t="shared" si="2"/>
        <v>2002</v>
      </c>
      <c r="B26" s="20">
        <f>'Exhibit 1'!$E21/'Exhibit 1'!$B21</f>
        <v>0.41830741932304116</v>
      </c>
      <c r="C26" s="130">
        <v>0.37679893033744666</v>
      </c>
      <c r="D26" s="121">
        <f ca="1">INDEX('Exhibit 2.6.2'!$B$26:$R$26,COUNT($A26:$A$27))</f>
        <v>1.0046666666666666</v>
      </c>
      <c r="E26" s="130">
        <v>1.1060839969682619</v>
      </c>
      <c r="F26" s="20">
        <f t="shared" si="0"/>
        <v>0.41677126692100869</v>
      </c>
      <c r="G26" s="20">
        <f t="shared" si="1"/>
        <v>0.45827975590660314</v>
      </c>
      <c r="H26" s="54"/>
    </row>
    <row r="27" spans="1:8">
      <c r="A27" s="19">
        <f t="shared" si="2"/>
        <v>2003</v>
      </c>
      <c r="B27" s="20">
        <f>'Exhibit 1'!$E22/'Exhibit 1'!$B22</f>
        <v>0.26741936285731155</v>
      </c>
      <c r="C27" s="130">
        <v>0.24169574224875853</v>
      </c>
      <c r="D27" s="121">
        <f ca="1">INDEX('Exhibit 2.6.2'!$B$26:$R$26,COUNT($A27:$A$27))</f>
        <v>1.0049999999999999</v>
      </c>
      <c r="E27" s="130">
        <v>1.111245722287447</v>
      </c>
      <c r="F27" s="20">
        <f t="shared" si="0"/>
        <v>0.2685833596690223</v>
      </c>
      <c r="G27" s="20">
        <f t="shared" si="1"/>
        <v>0.29430698027757529</v>
      </c>
      <c r="H27" s="54"/>
    </row>
    <row r="28" spans="1:8">
      <c r="A28" s="19">
        <f t="shared" si="2"/>
        <v>2004</v>
      </c>
      <c r="B28" s="20">
        <f>'Exhibit 1'!$E23/'Exhibit 1'!$B23</f>
        <v>0.18030900530812924</v>
      </c>
      <c r="C28" s="130">
        <v>0.16331233805356937</v>
      </c>
      <c r="D28" s="20">
        <f ca="1">INDEX('Exhibit 2.6.1'!$B$29:$V$29,COUNT($A28:$A$47))</f>
        <v>1.0056666666666667</v>
      </c>
      <c r="E28" s="130">
        <v>1.1175427813804093</v>
      </c>
      <c r="F28" s="20">
        <f t="shared" si="0"/>
        <v>0.18250852450212357</v>
      </c>
      <c r="G28" s="20">
        <f t="shared" si="1"/>
        <v>0.19950519175668346</v>
      </c>
      <c r="H28" s="54"/>
    </row>
    <row r="29" spans="1:8">
      <c r="A29" s="19">
        <f t="shared" si="2"/>
        <v>2005</v>
      </c>
      <c r="B29" s="20">
        <f>'Exhibit 1'!$E24/'Exhibit 1'!$B24</f>
        <v>0.17580829117717861</v>
      </c>
      <c r="C29" s="130">
        <v>0.15951126795888479</v>
      </c>
      <c r="D29" s="20">
        <f ca="1">INDEX('Exhibit 2.6.1'!$B$29:$V$29,COUNT($A29:$A$47))</f>
        <v>1.006</v>
      </c>
      <c r="E29" s="130">
        <v>1.1242480380686917</v>
      </c>
      <c r="F29" s="20">
        <f t="shared" si="0"/>
        <v>0.17933023005262558</v>
      </c>
      <c r="G29" s="20">
        <f t="shared" si="1"/>
        <v>0.19562725327091937</v>
      </c>
      <c r="H29" s="54"/>
    </row>
    <row r="30" spans="1:8">
      <c r="A30" s="19">
        <f t="shared" si="2"/>
        <v>2006</v>
      </c>
      <c r="B30" s="20">
        <f>'Exhibit 1'!$E25/'Exhibit 1'!$B25</f>
        <v>0.225494174252239</v>
      </c>
      <c r="C30" s="130">
        <v>0.20540783993908349</v>
      </c>
      <c r="D30" s="20">
        <f ca="1">INDEX('Exhibit 2.6.1'!$B$29:$V$29,COUNT($A30:$A$47))</f>
        <v>1.0066666666666666</v>
      </c>
      <c r="E30" s="130">
        <v>1.1317430249891496</v>
      </c>
      <c r="F30" s="20">
        <f t="shared" si="0"/>
        <v>0.2324688901291454</v>
      </c>
      <c r="G30" s="20">
        <f t="shared" si="1"/>
        <v>0.25255522444230094</v>
      </c>
      <c r="H30" s="54"/>
    </row>
    <row r="31" spans="1:8">
      <c r="A31" s="19">
        <f t="shared" si="2"/>
        <v>2007</v>
      </c>
      <c r="B31" s="20">
        <f>'Exhibit 1'!$E26/'Exhibit 1'!$B26</f>
        <v>0.31353367983911212</v>
      </c>
      <c r="C31" s="130">
        <v>0.28667852966638618</v>
      </c>
      <c r="D31" s="20">
        <f ca="1">INDEX('Exhibit 2.6.1'!$B$29:$V$29,COUNT($A31:$A$47))</f>
        <v>1.0073333333333332</v>
      </c>
      <c r="E31" s="130">
        <v>1.1400424738390698</v>
      </c>
      <c r="F31" s="20">
        <f t="shared" si="0"/>
        <v>0.32682570015741408</v>
      </c>
      <c r="G31" s="20">
        <f t="shared" si="1"/>
        <v>0.35368085033013996</v>
      </c>
      <c r="H31" s="54"/>
    </row>
    <row r="32" spans="1:8">
      <c r="A32" s="19">
        <f t="shared" si="2"/>
        <v>2008</v>
      </c>
      <c r="B32" s="20">
        <f>'Exhibit 1'!$E27/'Exhibit 1'!$B27</f>
        <v>0.38652289568285347</v>
      </c>
      <c r="C32" s="130">
        <v>0.35510352459836408</v>
      </c>
      <c r="D32" s="20">
        <f ca="1">INDEX('Exhibit 2.6.1'!$B$29:$V$29,COUNT($A32:$A$47))</f>
        <v>1.008</v>
      </c>
      <c r="E32" s="130">
        <v>1.1491628136297822</v>
      </c>
      <c r="F32" s="20">
        <f t="shared" si="0"/>
        <v>0.40807176545730867</v>
      </c>
      <c r="G32" s="20">
        <f t="shared" si="1"/>
        <v>0.43949113654179811</v>
      </c>
      <c r="H32" s="54"/>
    </row>
    <row r="33" spans="1:8">
      <c r="A33" s="19">
        <f t="shared" si="2"/>
        <v>2009</v>
      </c>
      <c r="B33" s="20">
        <f>'Exhibit 1'!$E28/'Exhibit 1'!$B28</f>
        <v>0.44981549244698199</v>
      </c>
      <c r="C33" s="130">
        <v>0.41644967100027958</v>
      </c>
      <c r="D33" s="20">
        <f ca="1">INDEX('Exhibit 2.6.1'!$B$29:$V$29,COUNT($A33:$A$47))</f>
        <v>1.0086666666666666</v>
      </c>
      <c r="E33" s="130">
        <v>1.1591222246812403</v>
      </c>
      <c r="F33" s="20">
        <f t="shared" si="0"/>
        <v>0.48271606911761467</v>
      </c>
      <c r="G33" s="20">
        <f t="shared" si="1"/>
        <v>0.51608189056431697</v>
      </c>
      <c r="H33" s="54"/>
    </row>
    <row r="34" spans="1:8">
      <c r="A34" s="268">
        <f t="shared" si="2"/>
        <v>2010</v>
      </c>
      <c r="B34" s="26">
        <f>'Exhibit 1'!$E29/'Exhibit 1'!$B29</f>
        <v>0.43579614668439887</v>
      </c>
      <c r="C34" s="364">
        <v>0.4052414097666695</v>
      </c>
      <c r="D34" s="26">
        <f ca="1">INDEX('Exhibit 2.6.1'!$B$29:$V$29,COUNT($A34:$A$47))</f>
        <v>1.0103333333333333</v>
      </c>
      <c r="E34" s="364">
        <v>1.1710998210029464</v>
      </c>
      <c r="F34" s="26">
        <f t="shared" si="0"/>
        <v>0.47457814244072832</v>
      </c>
      <c r="G34" s="26">
        <f t="shared" si="1"/>
        <v>0.50513287935845774</v>
      </c>
      <c r="H34" s="54"/>
    </row>
    <row r="35" spans="1:8">
      <c r="A35" s="19">
        <f t="shared" si="2"/>
        <v>2011</v>
      </c>
      <c r="B35" s="20">
        <f>'Exhibit 1'!$E30/'Exhibit 1'!$B30</f>
        <v>0.3676158356521978</v>
      </c>
      <c r="C35" s="130">
        <v>0.34558443761587782</v>
      </c>
      <c r="D35" s="20">
        <f ca="1">INDEX('Exhibit 2.6.1'!$B$29:$V$29,COUNT($A35:$A$47))</f>
        <v>1.0096666666666667</v>
      </c>
      <c r="E35" s="130">
        <v>1.1824204526059749</v>
      </c>
      <c r="F35" s="20">
        <f t="shared" si="0"/>
        <v>0.40862610713934755</v>
      </c>
      <c r="G35" s="20">
        <f t="shared" si="1"/>
        <v>0.43065750517566753</v>
      </c>
      <c r="H35" s="54"/>
    </row>
    <row r="36" spans="1:8">
      <c r="A36" s="19">
        <f t="shared" si="2"/>
        <v>2012</v>
      </c>
      <c r="B36" s="20">
        <f>'Exhibit 1'!$E31/'Exhibit 1'!$B31</f>
        <v>0.31275338067889696</v>
      </c>
      <c r="C36" s="130">
        <v>0.29674141467288356</v>
      </c>
      <c r="D36" s="20">
        <f ca="1">INDEX('Exhibit 2.6.1'!$B$29:$V$29,COUNT($A36:$A$47))</f>
        <v>1.0113333333333332</v>
      </c>
      <c r="E36" s="130">
        <v>1.1958212177355092</v>
      </c>
      <c r="F36" s="20">
        <f t="shared" si="0"/>
        <v>0.35484967984668531</v>
      </c>
      <c r="G36" s="20">
        <f t="shared" si="1"/>
        <v>0.37086164585269871</v>
      </c>
      <c r="H36" s="54"/>
    </row>
    <row r="37" spans="1:8">
      <c r="A37" s="19">
        <f t="shared" si="2"/>
        <v>2013</v>
      </c>
      <c r="B37" s="20">
        <f>'Exhibit 1'!$E32/'Exhibit 1'!$B32</f>
        <v>0.2473823432490079</v>
      </c>
      <c r="C37" s="130">
        <v>0.24712312989468527</v>
      </c>
      <c r="D37" s="20">
        <f ca="1">INDEX('Exhibit 2.6.1'!$B$29:$V$29,COUNT($A37:$A$47))</f>
        <v>1.0129999999999999</v>
      </c>
      <c r="E37" s="130">
        <v>1.2113668935660706</v>
      </c>
      <c r="F37" s="20">
        <f t="shared" si="0"/>
        <v>0.29935677818884948</v>
      </c>
      <c r="G37" s="20">
        <f t="shared" si="1"/>
        <v>0.29961599154317214</v>
      </c>
      <c r="H37" s="54"/>
    </row>
    <row r="38" spans="1:8">
      <c r="A38" s="19">
        <f t="shared" si="2"/>
        <v>2014</v>
      </c>
      <c r="B38" s="20">
        <f>'Exhibit 1'!$E33/'Exhibit 1'!$B33</f>
        <v>0.21799398005159737</v>
      </c>
      <c r="C38" s="130">
        <v>0.22185133788484454</v>
      </c>
      <c r="D38" s="20">
        <f ca="1">INDEX('Exhibit 2.6.1'!$B$29:$V$29,COUNT($A38:$A$47))</f>
        <v>1.0146666666666666</v>
      </c>
      <c r="E38" s="130">
        <v>1.2291336080050397</v>
      </c>
      <c r="F38" s="20">
        <f t="shared" si="0"/>
        <v>0.2726849353751441</v>
      </c>
      <c r="G38" s="20">
        <f t="shared" si="1"/>
        <v>0.2688275775418969</v>
      </c>
      <c r="H38" s="54"/>
    </row>
    <row r="39" spans="1:8">
      <c r="A39" s="19">
        <f>+A38+1</f>
        <v>2015</v>
      </c>
      <c r="B39" s="20">
        <f>'Exhibit 1'!$E34/'Exhibit 1'!$B34</f>
        <v>0.20166959271788987</v>
      </c>
      <c r="C39" s="130">
        <v>0.207685158950914</v>
      </c>
      <c r="D39" s="20">
        <f ca="1">INDEX('Exhibit 2.6.1'!$B$29:$V$29,COUNT($A39:$A$47))</f>
        <v>1.0176666666666667</v>
      </c>
      <c r="E39" s="130">
        <v>1.2508483017464622</v>
      </c>
      <c r="F39" s="20">
        <f t="shared" si="0"/>
        <v>0.25978262837169486</v>
      </c>
      <c r="G39" s="20">
        <f t="shared" si="1"/>
        <v>0.25376706213867073</v>
      </c>
      <c r="H39" s="54"/>
    </row>
    <row r="40" spans="1:8">
      <c r="A40" s="19">
        <f>+A39+1</f>
        <v>2016</v>
      </c>
      <c r="B40" s="20">
        <f>'Exhibit 1'!$E35/'Exhibit 1'!$B35</f>
        <v>0.18704856053841146</v>
      </c>
      <c r="C40" s="130">
        <v>0.19371753165026162</v>
      </c>
      <c r="D40" s="20">
        <f ca="1">INDEX('Exhibit 2.6.1'!$B$29:$V$29,COUNT($A40:$A$47))</f>
        <v>1.022</v>
      </c>
      <c r="E40" s="130">
        <v>1.2783669643848845</v>
      </c>
      <c r="F40" s="20">
        <f t="shared" si="0"/>
        <v>0.24764209288387773</v>
      </c>
      <c r="G40" s="20">
        <f t="shared" si="1"/>
        <v>0.24097312177202757</v>
      </c>
      <c r="H40" s="54"/>
    </row>
    <row r="41" spans="1:8">
      <c r="A41" s="19">
        <f>+A40+1</f>
        <v>2017</v>
      </c>
      <c r="B41" s="20">
        <f>'Exhibit 1'!$E36/'Exhibit 1'!$B36</f>
        <v>0.18731059131188713</v>
      </c>
      <c r="C41" s="130">
        <v>0.19433234320792597</v>
      </c>
      <c r="D41" s="20">
        <f ca="1">INDEX('Exhibit 2.6.1'!$B$29:$V$29,COUNT($A41:$A$47))</f>
        <v>1.028</v>
      </c>
      <c r="E41" s="130">
        <v>1.3141612393876614</v>
      </c>
      <c r="F41" s="20">
        <f t="shared" si="0"/>
        <v>0.25538403300323637</v>
      </c>
      <c r="G41" s="20">
        <f t="shared" si="1"/>
        <v>0.24836228110719755</v>
      </c>
      <c r="H41" s="54"/>
    </row>
    <row r="42" spans="1:8">
      <c r="A42" s="19">
        <f t="shared" ref="A42:A47" si="3">+A41+1</f>
        <v>2018</v>
      </c>
      <c r="B42" s="20">
        <f>'Exhibit 1'!$E37/'Exhibit 1'!$B37</f>
        <v>0.1955635868650602</v>
      </c>
      <c r="C42" s="130">
        <v>0.20219068356991346</v>
      </c>
      <c r="D42" s="20">
        <f ca="1">INDEX('Exhibit 2.6.1'!$B$29:$V$29,COUNT($A42:$A$47))</f>
        <v>1.042</v>
      </c>
      <c r="E42" s="130">
        <v>1.3693560114419432</v>
      </c>
      <c r="F42" s="20">
        <f t="shared" si="0"/>
        <v>0.27687102800401675</v>
      </c>
      <c r="G42" s="20">
        <f t="shared" si="1"/>
        <v>0.27024393129916346</v>
      </c>
      <c r="H42" s="54"/>
    </row>
    <row r="43" spans="1:8">
      <c r="A43" s="19">
        <f t="shared" si="3"/>
        <v>2019</v>
      </c>
      <c r="B43" s="20">
        <f>'Exhibit 1'!$E38/'Exhibit 1'!$B38</f>
        <v>0.2076681738236992</v>
      </c>
      <c r="C43" s="130">
        <v>0.21241833579361619</v>
      </c>
      <c r="D43" s="20">
        <f ca="1">INDEX('Exhibit 2.6.1'!$B$29:$V$29,COUNT($A43:$A$47))</f>
        <v>1.07</v>
      </c>
      <c r="E43" s="130">
        <v>1.4652109322428792</v>
      </c>
      <c r="F43" s="20">
        <f t="shared" si="0"/>
        <v>0.31123766781364531</v>
      </c>
      <c r="G43" s="20">
        <f t="shared" si="1"/>
        <v>0.30648750584372836</v>
      </c>
      <c r="H43" s="54"/>
    </row>
    <row r="44" spans="1:8">
      <c r="A44" s="19">
        <f t="shared" si="3"/>
        <v>2020</v>
      </c>
      <c r="B44" s="20">
        <f>'Exhibit 1'!$E39/'Exhibit 1'!$B39</f>
        <v>0.19413527498248431</v>
      </c>
      <c r="C44" s="130">
        <v>0.19591650547791548</v>
      </c>
      <c r="D44" s="20">
        <f ca="1">INDEX('Exhibit 2.6.1'!$B$29:$V$29,COUNT($A44:$A$47))</f>
        <v>1.1200000000000001</v>
      </c>
      <c r="E44" s="130">
        <v>1.641036244112025</v>
      </c>
      <c r="F44" s="20">
        <f t="shared" si="0"/>
        <v>0.32150608630903138</v>
      </c>
      <c r="G44" s="20">
        <f t="shared" si="1"/>
        <v>0.31972485581360022</v>
      </c>
      <c r="H44" s="54"/>
    </row>
    <row r="45" spans="1:8">
      <c r="A45" s="19">
        <f t="shared" si="3"/>
        <v>2021</v>
      </c>
      <c r="B45" s="20">
        <f>'Exhibit 1'!$E40/'Exhibit 1'!$B40</f>
        <v>0.1811772417165998</v>
      </c>
      <c r="C45" s="130">
        <v>0.18145302699798699</v>
      </c>
      <c r="D45" s="20">
        <f ca="1">INDEX('Exhibit 2.6.1'!$B$29:$V$29,COUNT($A45:$A$47))</f>
        <v>1.224</v>
      </c>
      <c r="E45" s="130">
        <v>2.0086283627931185</v>
      </c>
      <c r="F45" s="20">
        <f t="shared" si="0"/>
        <v>0.36447169654282213</v>
      </c>
      <c r="G45" s="20">
        <f t="shared" si="1"/>
        <v>0.36419591126143497</v>
      </c>
      <c r="H45" s="54"/>
    </row>
    <row r="46" spans="1:8">
      <c r="A46" s="19">
        <f t="shared" si="3"/>
        <v>2022</v>
      </c>
      <c r="B46" s="20">
        <f>'Exhibit 1'!$E41/'Exhibit 1'!$B41</f>
        <v>0.1209686960988658</v>
      </c>
      <c r="C46" s="130">
        <v>0.1209686960988658</v>
      </c>
      <c r="D46" s="20">
        <f ca="1">INDEX('Exhibit 2.6.1'!$B$29:$V$29,COUNT($A46:$A$47))</f>
        <v>1.45</v>
      </c>
      <c r="E46" s="130">
        <v>2.9125111260500218</v>
      </c>
      <c r="F46" s="20">
        <f t="shared" si="0"/>
        <v>0.35232267329171052</v>
      </c>
      <c r="G46" s="20">
        <f t="shared" si="1"/>
        <v>0.35232267329171052</v>
      </c>
      <c r="H46" s="54"/>
    </row>
    <row r="47" spans="1:8">
      <c r="A47" s="19">
        <f t="shared" si="3"/>
        <v>2023</v>
      </c>
      <c r="B47" s="20">
        <f>'Exhibit 1'!$E42/'Exhibit 1'!$B42</f>
        <v>4.7324951837166673E-2</v>
      </c>
      <c r="C47" s="130">
        <v>4.7324951837166673E-2</v>
      </c>
      <c r="D47" s="20">
        <f ca="1">INDEX('Exhibit 2.6.1'!$B$29:$V$29,COUNT($A47:$A$47))</f>
        <v>2.6179999999999999</v>
      </c>
      <c r="E47" s="130">
        <v>7.624954127998957</v>
      </c>
      <c r="F47" s="20">
        <f t="shared" si="0"/>
        <v>0.36085058686815585</v>
      </c>
      <c r="G47" s="20">
        <f t="shared" si="1"/>
        <v>0.36085058686815585</v>
      </c>
      <c r="H47" s="54"/>
    </row>
    <row r="48" spans="1:8">
      <c r="A48" s="19"/>
      <c r="B48" s="20"/>
      <c r="C48" s="20"/>
      <c r="D48" s="20"/>
      <c r="E48" s="32"/>
      <c r="F48" s="20"/>
      <c r="G48" s="311"/>
      <c r="H48" s="54"/>
    </row>
    <row r="49" spans="1:8" ht="12.75" customHeight="1">
      <c r="A49" s="31" t="s">
        <v>22</v>
      </c>
      <c r="B49" s="131" t="s">
        <v>311</v>
      </c>
      <c r="C49" s="131"/>
      <c r="D49" s="131"/>
      <c r="E49" s="131"/>
      <c r="F49" s="131"/>
      <c r="G49" s="131"/>
      <c r="H49" s="131"/>
    </row>
    <row r="50" spans="1:8" ht="27" customHeight="1">
      <c r="A50" s="31" t="s">
        <v>26</v>
      </c>
      <c r="B50" s="436" t="s">
        <v>464</v>
      </c>
      <c r="C50" s="436"/>
      <c r="D50" s="436"/>
      <c r="E50" s="436"/>
      <c r="F50" s="436"/>
      <c r="G50" s="436"/>
      <c r="H50" s="436"/>
    </row>
    <row r="51" spans="1:8" ht="27" customHeight="1">
      <c r="A51" s="31"/>
      <c r="B51" s="436" t="s">
        <v>465</v>
      </c>
      <c r="C51" s="436"/>
      <c r="D51" s="436"/>
      <c r="E51" s="436"/>
      <c r="F51" s="436"/>
      <c r="G51" s="436"/>
      <c r="H51" s="436"/>
    </row>
    <row r="52" spans="1:8" ht="12.75" customHeight="1">
      <c r="A52" s="31" t="s">
        <v>34</v>
      </c>
      <c r="B52" s="131" t="s">
        <v>237</v>
      </c>
      <c r="C52" s="131"/>
      <c r="D52" s="131"/>
      <c r="E52" s="131"/>
      <c r="F52" s="131"/>
      <c r="G52" s="131"/>
      <c r="H52" s="216"/>
    </row>
    <row r="53" spans="1:8" ht="41.25" customHeight="1">
      <c r="A53" s="31" t="s">
        <v>49</v>
      </c>
      <c r="B53" s="436" t="s">
        <v>330</v>
      </c>
      <c r="C53" s="436"/>
      <c r="D53" s="436"/>
      <c r="E53" s="436"/>
      <c r="F53" s="436"/>
      <c r="G53" s="436"/>
      <c r="H53" s="436"/>
    </row>
  </sheetData>
  <mergeCells count="5">
    <mergeCell ref="B53:H53"/>
    <mergeCell ref="C5:G5"/>
    <mergeCell ref="D6:E6"/>
    <mergeCell ref="B50:H50"/>
    <mergeCell ref="B51:H51"/>
  </mergeCells>
  <printOptions horizontalCentered="1"/>
  <pageMargins left="0.5" right="0.5" top="0.75" bottom="0.75" header="0.33" footer="0.33"/>
  <pageSetup scale="95" orientation="portrait" blackAndWhite="1" horizontalDpi="1200" verticalDpi="1200" r:id="rId1"/>
  <headerFooter scaleWithDoc="0">
    <oddHeader>&amp;R&amp;"Arial,Regular"&amp;10Exhibit 3.3</oddHeader>
  </headerFooter>
  <ignoredErrors>
    <ignoredError sqref="B4:C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0B5D7-CFD9-4643-8F3C-3DA20BF78D2A}">
  <sheetPr>
    <pageSetUpPr fitToPage="1"/>
  </sheetPr>
  <dimension ref="A1:I55"/>
  <sheetViews>
    <sheetView zoomScaleNormal="100" zoomScaleSheetLayoutView="100" workbookViewId="0"/>
  </sheetViews>
  <sheetFormatPr defaultColWidth="9.140625" defaultRowHeight="12.75"/>
  <cols>
    <col min="1" max="1" width="12.85546875" style="53" customWidth="1"/>
    <col min="2" max="3" width="15" style="54" customWidth="1"/>
    <col min="4" max="8" width="13.140625" style="54" customWidth="1"/>
    <col min="9" max="9" width="5.85546875" style="53" customWidth="1"/>
    <col min="10" max="16384" width="9.140625" style="53"/>
  </cols>
  <sheetData>
    <row r="1" spans="1:9">
      <c r="A1" s="99" t="s">
        <v>376</v>
      </c>
      <c r="B1" s="99"/>
      <c r="C1" s="99"/>
      <c r="D1" s="99"/>
      <c r="E1" s="99"/>
      <c r="F1" s="99"/>
      <c r="G1" s="99"/>
      <c r="H1" s="99"/>
      <c r="I1" s="162"/>
    </row>
    <row r="2" spans="1:9">
      <c r="A2" s="99" t="s">
        <v>492</v>
      </c>
      <c r="B2" s="99"/>
      <c r="C2" s="99"/>
      <c r="D2" s="99"/>
      <c r="E2" s="99"/>
      <c r="F2" s="99"/>
      <c r="G2" s="99"/>
      <c r="H2" s="99"/>
      <c r="I2" s="162"/>
    </row>
    <row r="3" spans="1:9">
      <c r="A3" s="28"/>
      <c r="B3" s="27"/>
      <c r="C3" s="27"/>
      <c r="D3" s="27"/>
      <c r="E3" s="27"/>
      <c r="F3" s="27"/>
      <c r="G3" s="28"/>
      <c r="H3" s="28"/>
      <c r="I3" s="54"/>
    </row>
    <row r="4" spans="1:9">
      <c r="A4" s="28"/>
      <c r="B4" s="29" t="s">
        <v>38</v>
      </c>
      <c r="C4" s="29" t="s">
        <v>39</v>
      </c>
      <c r="D4" s="29" t="s">
        <v>40</v>
      </c>
      <c r="E4" s="29" t="s">
        <v>41</v>
      </c>
      <c r="F4" s="29" t="s">
        <v>42</v>
      </c>
      <c r="G4" s="29" t="s">
        <v>43</v>
      </c>
      <c r="H4" s="29" t="s">
        <v>121</v>
      </c>
      <c r="I4" s="54"/>
    </row>
    <row r="5" spans="1:9">
      <c r="A5" s="28"/>
      <c r="B5" s="28"/>
      <c r="C5" s="437" t="s">
        <v>236</v>
      </c>
      <c r="D5" s="437"/>
      <c r="E5" s="437"/>
      <c r="F5" s="437"/>
      <c r="G5" s="437"/>
      <c r="H5" s="437"/>
      <c r="I5" s="54"/>
    </row>
    <row r="6" spans="1:9">
      <c r="A6" s="54"/>
      <c r="D6" s="435" t="s">
        <v>37</v>
      </c>
      <c r="E6" s="435"/>
      <c r="I6" s="54"/>
    </row>
    <row r="7" spans="1:9">
      <c r="A7" s="28"/>
      <c r="B7" s="28" t="s">
        <v>380</v>
      </c>
      <c r="C7" s="28" t="s">
        <v>382</v>
      </c>
      <c r="E7" s="176"/>
      <c r="F7" s="28" t="s">
        <v>44</v>
      </c>
      <c r="G7" s="28" t="s">
        <v>45</v>
      </c>
      <c r="H7" s="28" t="s">
        <v>378</v>
      </c>
      <c r="I7" s="54"/>
    </row>
    <row r="8" spans="1:9">
      <c r="A8" s="28" t="s">
        <v>46</v>
      </c>
      <c r="B8" s="28" t="s">
        <v>381</v>
      </c>
      <c r="C8" s="28" t="s">
        <v>383</v>
      </c>
      <c r="E8" s="175"/>
      <c r="F8" s="28" t="s">
        <v>244</v>
      </c>
      <c r="G8" s="28" t="s">
        <v>47</v>
      </c>
      <c r="H8" s="28" t="s">
        <v>244</v>
      </c>
      <c r="I8" s="54"/>
    </row>
    <row r="9" spans="1:9">
      <c r="A9" s="30" t="s">
        <v>8</v>
      </c>
      <c r="B9" s="30" t="s">
        <v>256</v>
      </c>
      <c r="C9" s="30" t="s">
        <v>245</v>
      </c>
      <c r="D9" s="30" t="s">
        <v>269</v>
      </c>
      <c r="E9" s="30" t="s">
        <v>312</v>
      </c>
      <c r="F9" s="30" t="s">
        <v>246</v>
      </c>
      <c r="G9" s="30" t="s">
        <v>48</v>
      </c>
      <c r="H9" s="30" t="s">
        <v>392</v>
      </c>
      <c r="I9" s="54"/>
    </row>
    <row r="10" spans="1:9">
      <c r="A10" s="28"/>
      <c r="B10" s="31"/>
      <c r="C10" s="28"/>
      <c r="D10" s="28"/>
      <c r="E10" s="28"/>
      <c r="F10" s="28" t="s">
        <v>279</v>
      </c>
      <c r="G10" s="28" t="s">
        <v>280</v>
      </c>
      <c r="H10" s="28"/>
      <c r="I10" s="54"/>
    </row>
    <row r="11" spans="1:9">
      <c r="A11" s="19">
        <v>1987</v>
      </c>
      <c r="B11" s="23">
        <f>'Exhibit 1'!$E6/'Exhibit 1'!$B6</f>
        <v>0.30800967778309751</v>
      </c>
      <c r="C11" s="350">
        <v>0.27301027696919089</v>
      </c>
      <c r="D11" s="350">
        <v>1.0021077706899972</v>
      </c>
      <c r="E11" s="350">
        <v>1.0515322242813736</v>
      </c>
      <c r="F11" s="23">
        <f t="shared" ref="F11:F47" si="0">C11*E11</f>
        <v>0.28707910379308715</v>
      </c>
      <c r="G11" s="23">
        <f t="shared" ref="G11:G47" si="1">B11+F11-C11</f>
        <v>0.32207850460699383</v>
      </c>
      <c r="H11" s="20">
        <f>AVERAGE(F11, 'Exhibit 3.3'!F11)</f>
        <v>0.28707910379308715</v>
      </c>
      <c r="I11" s="54"/>
    </row>
    <row r="12" spans="1:9">
      <c r="A12" s="19">
        <f t="shared" ref="A12:A38" si="2">+A11+1</f>
        <v>1988</v>
      </c>
      <c r="B12" s="23">
        <f>'Exhibit 1'!$E7/'Exhibit 1'!$B7</f>
        <v>0.30091971206663126</v>
      </c>
      <c r="C12" s="350">
        <v>0.26688216124527464</v>
      </c>
      <c r="D12" s="350">
        <v>1.0021077706899972</v>
      </c>
      <c r="E12" s="350">
        <v>1.0537486130833016</v>
      </c>
      <c r="F12" s="23">
        <f t="shared" si="0"/>
        <v>0.28122670726888221</v>
      </c>
      <c r="G12" s="23">
        <f t="shared" si="1"/>
        <v>0.31526425809023884</v>
      </c>
      <c r="H12" s="20">
        <f>AVERAGE(F12, 'Exhibit 3.3'!F12)</f>
        <v>0.28122670726888221</v>
      </c>
      <c r="I12" s="54"/>
    </row>
    <row r="13" spans="1:9">
      <c r="A13" s="19">
        <f t="shared" si="2"/>
        <v>1989</v>
      </c>
      <c r="B13" s="23">
        <f>'Exhibit 1'!$E8/'Exhibit 1'!$B8</f>
        <v>0.32018535765375156</v>
      </c>
      <c r="C13" s="350">
        <v>0.28391721767181438</v>
      </c>
      <c r="D13" s="350">
        <v>1.0021343581340802</v>
      </c>
      <c r="E13" s="350">
        <v>1.0559976900069117</v>
      </c>
      <c r="F13" s="23">
        <f t="shared" si="0"/>
        <v>0.29981592601462553</v>
      </c>
      <c r="G13" s="23">
        <f t="shared" si="1"/>
        <v>0.33608406599656265</v>
      </c>
      <c r="H13" s="20">
        <f>AVERAGE(F13, 'Exhibit 3.3'!F13)</f>
        <v>0.29981592601462553</v>
      </c>
      <c r="I13" s="54"/>
    </row>
    <row r="14" spans="1:9">
      <c r="A14" s="19">
        <f t="shared" si="2"/>
        <v>1990</v>
      </c>
      <c r="B14" s="23">
        <f>'Exhibit 1'!$E9/'Exhibit 1'!$B9</f>
        <v>0.36160488451372536</v>
      </c>
      <c r="C14" s="350">
        <v>0.32071184179917106</v>
      </c>
      <c r="D14" s="350">
        <v>1.0030442291470931</v>
      </c>
      <c r="E14" s="350">
        <v>1.0592123889540936</v>
      </c>
      <c r="F14" s="23">
        <f t="shared" si="0"/>
        <v>0.33970195611796733</v>
      </c>
      <c r="G14" s="23">
        <f t="shared" si="1"/>
        <v>0.38059499883252162</v>
      </c>
      <c r="H14" s="20">
        <f>AVERAGE(F14, 'Exhibit 3.3'!F14)</f>
        <v>0.33970195611796733</v>
      </c>
      <c r="I14" s="54"/>
    </row>
    <row r="15" spans="1:9">
      <c r="A15" s="19">
        <f t="shared" si="2"/>
        <v>1991</v>
      </c>
      <c r="B15" s="23">
        <f>'Exhibit 1'!$E10/'Exhibit 1'!$B10</f>
        <v>0.37840800096192723</v>
      </c>
      <c r="C15" s="350">
        <v>0.335821320548435</v>
      </c>
      <c r="D15" s="350">
        <v>1.00298628855317</v>
      </c>
      <c r="E15" s="350">
        <v>1.0623755027866031</v>
      </c>
      <c r="F15" s="23">
        <f t="shared" si="0"/>
        <v>0.35676834426410464</v>
      </c>
      <c r="G15" s="23">
        <f t="shared" si="1"/>
        <v>0.39935502467759681</v>
      </c>
      <c r="H15" s="20">
        <f>AVERAGE(F15, 'Exhibit 3.3'!F15)</f>
        <v>0.35676834426410464</v>
      </c>
      <c r="I15" s="54"/>
    </row>
    <row r="16" spans="1:9">
      <c r="A16" s="19">
        <f t="shared" si="2"/>
        <v>1992</v>
      </c>
      <c r="B16" s="23">
        <f>'Exhibit 1'!$E11/'Exhibit 1'!$B11</f>
        <v>0.31347894557305894</v>
      </c>
      <c r="C16" s="350">
        <v>0.27846797722696215</v>
      </c>
      <c r="D16" s="350">
        <v>1.0017645169980909</v>
      </c>
      <c r="E16" s="350">
        <v>1.0642500824196255</v>
      </c>
      <c r="F16" s="23">
        <f t="shared" si="0"/>
        <v>0.29635956771502087</v>
      </c>
      <c r="G16" s="23">
        <f t="shared" si="1"/>
        <v>0.33137053606111766</v>
      </c>
      <c r="H16" s="20">
        <f>AVERAGE(F16, 'Exhibit 3.3'!F16)</f>
        <v>0.29635956771502087</v>
      </c>
      <c r="I16" s="54"/>
    </row>
    <row r="17" spans="1:9">
      <c r="A17" s="19">
        <f t="shared" si="2"/>
        <v>1993</v>
      </c>
      <c r="B17" s="23">
        <f>'Exhibit 1'!$E12/'Exhibit 1'!$B12</f>
        <v>0.25778013997073224</v>
      </c>
      <c r="C17" s="350">
        <v>0.22894432824864755</v>
      </c>
      <c r="D17" s="350">
        <v>1.0030176080651863</v>
      </c>
      <c r="E17" s="350">
        <v>1.06746157205171</v>
      </c>
      <c r="F17" s="23">
        <f t="shared" si="0"/>
        <v>0.24438927254462403</v>
      </c>
      <c r="G17" s="23">
        <f t="shared" si="1"/>
        <v>0.27322508426670877</v>
      </c>
      <c r="H17" s="20">
        <f>AVERAGE(F17, 'Exhibit 3.3'!F17)</f>
        <v>0.24438927254462403</v>
      </c>
      <c r="I17" s="54"/>
    </row>
    <row r="18" spans="1:9">
      <c r="A18" s="19">
        <f t="shared" si="2"/>
        <v>1994</v>
      </c>
      <c r="B18" s="23">
        <f>'Exhibit 1'!$E13/'Exhibit 1'!$B13</f>
        <v>0.29613254267190225</v>
      </c>
      <c r="C18" s="350">
        <v>0.26330894791370152</v>
      </c>
      <c r="D18" s="350">
        <v>1.0019157987654361</v>
      </c>
      <c r="E18" s="350">
        <v>1.0695066136135971</v>
      </c>
      <c r="F18" s="23">
        <f t="shared" si="0"/>
        <v>0.28161066121734196</v>
      </c>
      <c r="G18" s="23">
        <f t="shared" si="1"/>
        <v>0.31443425597554275</v>
      </c>
      <c r="H18" s="20">
        <f>AVERAGE(F18, 'Exhibit 3.3'!F18)</f>
        <v>0.28161066121734196</v>
      </c>
      <c r="I18" s="54"/>
    </row>
    <row r="19" spans="1:9">
      <c r="A19" s="19">
        <f t="shared" si="2"/>
        <v>1995</v>
      </c>
      <c r="B19" s="23">
        <f>'Exhibit 1'!$E14/'Exhibit 1'!$B14</f>
        <v>0.43667702800504332</v>
      </c>
      <c r="C19" s="350">
        <v>0.3888049807709652</v>
      </c>
      <c r="D19" s="350">
        <v>1.0024158357582715</v>
      </c>
      <c r="E19" s="350">
        <v>1.0720903659344727</v>
      </c>
      <c r="F19" s="23">
        <f t="shared" si="0"/>
        <v>0.41683407411188972</v>
      </c>
      <c r="G19" s="23">
        <f t="shared" si="1"/>
        <v>0.46470612134596784</v>
      </c>
      <c r="H19" s="20">
        <f>AVERAGE(F19, 'Exhibit 3.3'!F19)</f>
        <v>0.41683407411188972</v>
      </c>
      <c r="I19" s="54"/>
    </row>
    <row r="20" spans="1:9">
      <c r="A20" s="19">
        <f t="shared" si="2"/>
        <v>1996</v>
      </c>
      <c r="B20" s="23">
        <f>'Exhibit 1'!$E15/'Exhibit 1'!$B15</f>
        <v>0.46761604165025222</v>
      </c>
      <c r="C20" s="350">
        <v>0.41634092168615677</v>
      </c>
      <c r="D20" s="350">
        <v>1.0034770549373906</v>
      </c>
      <c r="E20" s="350">
        <v>1.075818083034674</v>
      </c>
      <c r="F20" s="23">
        <f t="shared" si="0"/>
        <v>0.44790709225729047</v>
      </c>
      <c r="G20" s="23">
        <f t="shared" si="1"/>
        <v>0.49918221222138592</v>
      </c>
      <c r="H20" s="20">
        <f>AVERAGE(F20, 'Exhibit 3.3'!F20)</f>
        <v>0.44790709225729047</v>
      </c>
      <c r="I20" s="54"/>
    </row>
    <row r="21" spans="1:9">
      <c r="A21" s="19">
        <f t="shared" si="2"/>
        <v>1997</v>
      </c>
      <c r="B21" s="23">
        <f>'Exhibit 1'!$E16/'Exhibit 1'!$B16</f>
        <v>0.52327162835674623</v>
      </c>
      <c r="C21" s="350">
        <v>0.46598698404315164</v>
      </c>
      <c r="D21" s="350">
        <v>1.0033901507663119</v>
      </c>
      <c r="E21" s="350">
        <v>1.0794652685332862</v>
      </c>
      <c r="F21" s="23">
        <f t="shared" si="0"/>
        <v>0.50301676486315683</v>
      </c>
      <c r="G21" s="23">
        <f t="shared" si="1"/>
        <v>0.56030140917675131</v>
      </c>
      <c r="H21" s="20">
        <f>AVERAGE(F21, 'Exhibit 3.3'!F21)</f>
        <v>0.50301676486315683</v>
      </c>
      <c r="I21" s="54"/>
    </row>
    <row r="22" spans="1:9">
      <c r="A22" s="19">
        <f t="shared" si="2"/>
        <v>1998</v>
      </c>
      <c r="B22" s="23">
        <f>'Exhibit 1'!$E17/'Exhibit 1'!$B17</f>
        <v>0.62732499547472875</v>
      </c>
      <c r="C22" s="350">
        <v>0.56004142247985822</v>
      </c>
      <c r="D22" s="350">
        <v>1.0044197323455955</v>
      </c>
      <c r="E22" s="350">
        <v>1.0842362160965695</v>
      </c>
      <c r="F22" s="23">
        <f t="shared" si="0"/>
        <v>0.60721719276690178</v>
      </c>
      <c r="G22" s="23">
        <f t="shared" si="1"/>
        <v>0.67450076576177231</v>
      </c>
      <c r="H22" s="20">
        <f>AVERAGE(F22, 'Exhibit 3.3'!F22)</f>
        <v>0.60721719276690178</v>
      </c>
      <c r="I22" s="54"/>
    </row>
    <row r="23" spans="1:9">
      <c r="A23" s="19">
        <f t="shared" si="2"/>
        <v>1999</v>
      </c>
      <c r="B23" s="23">
        <f>'Exhibit 1'!$E18/'Exhibit 1'!$B18</f>
        <v>0.68267220450441579</v>
      </c>
      <c r="C23" s="350">
        <v>0.60997955951758875</v>
      </c>
      <c r="D23" s="121">
        <f ca="1">INDEX('Exhibit 2.6.2'!$B$26:$R$26,COUNT($A23:$A$27))</f>
        <v>1.0053333333333334</v>
      </c>
      <c r="E23" s="350">
        <v>1.0900188092490846</v>
      </c>
      <c r="F23" s="23">
        <f t="shared" si="0"/>
        <v>0.66488919313164319</v>
      </c>
      <c r="G23" s="23">
        <f t="shared" si="1"/>
        <v>0.73758183811847022</v>
      </c>
      <c r="H23" s="20">
        <f>AVERAGE(F23, 'Exhibit 3.3'!F23)</f>
        <v>0.66488919313164319</v>
      </c>
      <c r="I23" s="54"/>
    </row>
    <row r="24" spans="1:9">
      <c r="A24" s="19">
        <f t="shared" si="2"/>
        <v>2000</v>
      </c>
      <c r="B24" s="23">
        <f>'Exhibit 1'!$E19/'Exhibit 1'!$B19</f>
        <v>0.61484265432511542</v>
      </c>
      <c r="C24" s="350">
        <v>0.54988564719412458</v>
      </c>
      <c r="D24" s="121">
        <f ca="1">INDEX('Exhibit 2.6.2'!$B$26:$R$26,COUNT($A24:$A$27))</f>
        <v>1.0053333333333334</v>
      </c>
      <c r="E24" s="350">
        <v>1.0954689032953302</v>
      </c>
      <c r="F24" s="23">
        <f t="shared" si="0"/>
        <v>0.60238262686959054</v>
      </c>
      <c r="G24" s="23">
        <f t="shared" si="1"/>
        <v>0.66733963400058138</v>
      </c>
      <c r="H24" s="20">
        <f>AVERAGE(F24, 'Exhibit 3.3'!F24)</f>
        <v>0.60238262686959054</v>
      </c>
      <c r="I24" s="54"/>
    </row>
    <row r="25" spans="1:9">
      <c r="A25" s="19">
        <f t="shared" si="2"/>
        <v>2001</v>
      </c>
      <c r="B25" s="23">
        <f>'Exhibit 1'!$E20/'Exhibit 1'!$B20</f>
        <v>0.54252412956928153</v>
      </c>
      <c r="C25" s="350">
        <v>0.48720064596278501</v>
      </c>
      <c r="D25" s="121">
        <f ca="1">INDEX('Exhibit 2.6.2'!$B$26:$R$26,COUNT($A25:$A$27))</f>
        <v>1.0050000000000001</v>
      </c>
      <c r="E25" s="350">
        <v>1.1005810915107084</v>
      </c>
      <c r="F25" s="23">
        <f t="shared" si="0"/>
        <v>0.53620381871844414</v>
      </c>
      <c r="G25" s="23">
        <f t="shared" si="1"/>
        <v>0.59152730232494066</v>
      </c>
      <c r="H25" s="20">
        <f>AVERAGE(F25, 'Exhibit 3.3'!F25)</f>
        <v>0.53620381871844414</v>
      </c>
      <c r="I25" s="54"/>
    </row>
    <row r="26" spans="1:9">
      <c r="A26" s="19">
        <f t="shared" si="2"/>
        <v>2002</v>
      </c>
      <c r="B26" s="20">
        <f>'Exhibit 1'!$E21/'Exhibit 1'!$B21</f>
        <v>0.41830741932304116</v>
      </c>
      <c r="C26" s="350">
        <v>0.37679893033744666</v>
      </c>
      <c r="D26" s="121">
        <f ca="1">INDEX('Exhibit 2.6.2'!$B$26:$R$26,COUNT($A26:$A$27))</f>
        <v>1.0046666666666666</v>
      </c>
      <c r="E26" s="350">
        <v>1.1060839969682619</v>
      </c>
      <c r="F26" s="20">
        <f t="shared" si="0"/>
        <v>0.41677126692100869</v>
      </c>
      <c r="G26" s="20">
        <f t="shared" si="1"/>
        <v>0.45827975590660314</v>
      </c>
      <c r="H26" s="20">
        <f>AVERAGE(F26, 'Exhibit 3.3'!F26)</f>
        <v>0.41677126692100869</v>
      </c>
      <c r="I26" s="54"/>
    </row>
    <row r="27" spans="1:9">
      <c r="A27" s="19">
        <f t="shared" si="2"/>
        <v>2003</v>
      </c>
      <c r="B27" s="20">
        <f>'Exhibit 1'!$E22/'Exhibit 1'!$B22</f>
        <v>0.26741936285731155</v>
      </c>
      <c r="C27" s="350">
        <v>0.24169574224875853</v>
      </c>
      <c r="D27" s="121">
        <f ca="1">INDEX('Exhibit 2.6.2'!$B$26:$R$26,COUNT($A27:$A$27))</f>
        <v>1.0049999999999999</v>
      </c>
      <c r="E27" s="350">
        <v>1.111245722287447</v>
      </c>
      <c r="F27" s="20">
        <f t="shared" si="0"/>
        <v>0.2685833596690223</v>
      </c>
      <c r="G27" s="20">
        <f t="shared" si="1"/>
        <v>0.29430698027757529</v>
      </c>
      <c r="H27" s="20">
        <f>AVERAGE(F27, 'Exhibit 3.3'!F27)</f>
        <v>0.2685833596690223</v>
      </c>
      <c r="I27" s="54"/>
    </row>
    <row r="28" spans="1:9">
      <c r="A28" s="19">
        <f t="shared" si="2"/>
        <v>2004</v>
      </c>
      <c r="B28" s="20">
        <f>'Exhibit 1'!$E23/'Exhibit 1'!$B23</f>
        <v>0.18030900530812924</v>
      </c>
      <c r="C28" s="350">
        <v>0.16331233805356937</v>
      </c>
      <c r="D28" s="20">
        <f ca="1">INDEX('Exhibit 2.6.1'!$B$29:$V$29,COUNT($A28:$A$47))</f>
        <v>1.0056666666666667</v>
      </c>
      <c r="E28" s="350">
        <v>1.1175427813804093</v>
      </c>
      <c r="F28" s="20">
        <f t="shared" si="0"/>
        <v>0.18250852450212357</v>
      </c>
      <c r="G28" s="20">
        <f t="shared" si="1"/>
        <v>0.19950519175668346</v>
      </c>
      <c r="H28" s="20">
        <f>AVERAGE(F28, 'Exhibit 3.3'!F28)</f>
        <v>0.18250852450212357</v>
      </c>
      <c r="I28" s="54"/>
    </row>
    <row r="29" spans="1:9">
      <c r="A29" s="19">
        <f t="shared" si="2"/>
        <v>2005</v>
      </c>
      <c r="B29" s="20">
        <f>'Exhibit 1'!$E24/'Exhibit 1'!$B24</f>
        <v>0.17580829117717861</v>
      </c>
      <c r="C29" s="350">
        <v>0.15951126795888479</v>
      </c>
      <c r="D29" s="20">
        <f ca="1">INDEX('Exhibit 2.6.1'!$B$29:$V$29,COUNT($A29:$A$47))</f>
        <v>1.006</v>
      </c>
      <c r="E29" s="350">
        <v>1.1242480380686917</v>
      </c>
      <c r="F29" s="20">
        <f t="shared" si="0"/>
        <v>0.17933023005262558</v>
      </c>
      <c r="G29" s="20">
        <f t="shared" si="1"/>
        <v>0.19562725327091937</v>
      </c>
      <c r="H29" s="20">
        <f>AVERAGE(F29, 'Exhibit 3.3'!F29)</f>
        <v>0.17933023005262558</v>
      </c>
      <c r="I29" s="54"/>
    </row>
    <row r="30" spans="1:9">
      <c r="A30" s="19">
        <f t="shared" si="2"/>
        <v>2006</v>
      </c>
      <c r="B30" s="20">
        <f>'Exhibit 1'!$E25/'Exhibit 1'!$B25</f>
        <v>0.225494174252239</v>
      </c>
      <c r="C30" s="350">
        <v>0.20540783993908349</v>
      </c>
      <c r="D30" s="20">
        <f ca="1">INDEX('Exhibit 2.6.1'!$B$29:$V$29,COUNT($A30:$A$47))</f>
        <v>1.0066666666666666</v>
      </c>
      <c r="E30" s="350">
        <v>1.1317430249891496</v>
      </c>
      <c r="F30" s="20">
        <f t="shared" si="0"/>
        <v>0.2324688901291454</v>
      </c>
      <c r="G30" s="20">
        <f t="shared" si="1"/>
        <v>0.25255522444230094</v>
      </c>
      <c r="H30" s="20">
        <f>AVERAGE(F30, 'Exhibit 3.3'!F30)</f>
        <v>0.2324688901291454</v>
      </c>
      <c r="I30" s="54"/>
    </row>
    <row r="31" spans="1:9">
      <c r="A31" s="19">
        <f t="shared" si="2"/>
        <v>2007</v>
      </c>
      <c r="B31" s="20">
        <f>'Exhibit 1'!$E26/'Exhibit 1'!$B26</f>
        <v>0.31353367983911212</v>
      </c>
      <c r="C31" s="350">
        <v>0.28667852966638618</v>
      </c>
      <c r="D31" s="20">
        <f ca="1">INDEX('Exhibit 2.6.1'!$B$29:$V$29,COUNT($A31:$A$47))</f>
        <v>1.0073333333333332</v>
      </c>
      <c r="E31" s="350">
        <v>1.1400424738390698</v>
      </c>
      <c r="F31" s="20">
        <f t="shared" si="0"/>
        <v>0.32682570015741408</v>
      </c>
      <c r="G31" s="20">
        <f t="shared" si="1"/>
        <v>0.35368085033013996</v>
      </c>
      <c r="H31" s="20">
        <f>AVERAGE(F31, 'Exhibit 3.3'!F31)</f>
        <v>0.32682570015741408</v>
      </c>
      <c r="I31" s="54"/>
    </row>
    <row r="32" spans="1:9">
      <c r="A32" s="19">
        <f t="shared" si="2"/>
        <v>2008</v>
      </c>
      <c r="B32" s="20">
        <f>'Exhibit 1'!$E27/'Exhibit 1'!$B27</f>
        <v>0.38652289568285347</v>
      </c>
      <c r="C32" s="350">
        <v>0.35510352459836408</v>
      </c>
      <c r="D32" s="20">
        <f ca="1">INDEX('Exhibit 2.6.1'!$B$29:$V$29,COUNT($A32:$A$47))</f>
        <v>1.008</v>
      </c>
      <c r="E32" s="350">
        <v>1.1491628136297822</v>
      </c>
      <c r="F32" s="20">
        <f t="shared" si="0"/>
        <v>0.40807176545730867</v>
      </c>
      <c r="G32" s="20">
        <f t="shared" si="1"/>
        <v>0.43949113654179811</v>
      </c>
      <c r="H32" s="20">
        <f>AVERAGE(F32, 'Exhibit 3.3'!F32)</f>
        <v>0.40807176545730867</v>
      </c>
      <c r="I32" s="54"/>
    </row>
    <row r="33" spans="1:9">
      <c r="A33" s="346">
        <f t="shared" si="2"/>
        <v>2009</v>
      </c>
      <c r="B33" s="23">
        <f>'Exhibit 1'!$E28/'Exhibit 1'!$B28</f>
        <v>0.44981549244698199</v>
      </c>
      <c r="C33" s="350">
        <v>0.41644967100027958</v>
      </c>
      <c r="D33" s="20">
        <f ca="1">INDEX('Exhibit 2.6.1'!$B$29:$V$29,COUNT($A33:$A$47))</f>
        <v>1.0086666666666666</v>
      </c>
      <c r="E33" s="350">
        <v>1.1591222246812403</v>
      </c>
      <c r="F33" s="23">
        <f t="shared" si="0"/>
        <v>0.48271606911761467</v>
      </c>
      <c r="G33" s="23">
        <f t="shared" si="1"/>
        <v>0.51608189056431697</v>
      </c>
      <c r="H33" s="23">
        <f>AVERAGE(F33, 'Exhibit 3.3'!F33)</f>
        <v>0.48271606911761467</v>
      </c>
      <c r="I33" s="54"/>
    </row>
    <row r="34" spans="1:9">
      <c r="A34" s="346">
        <f t="shared" si="2"/>
        <v>2010</v>
      </c>
      <c r="B34" s="23">
        <f>'Exhibit 1'!$E29/'Exhibit 1'!$B29</f>
        <v>0.43579614668439887</v>
      </c>
      <c r="C34" s="350">
        <v>0.4052414097666695</v>
      </c>
      <c r="D34" s="23">
        <f ca="1">INDEX('Exhibit 2.6.1'!$B$29:$V$29,COUNT($A34:$A$47))</f>
        <v>1.0103333333333333</v>
      </c>
      <c r="E34" s="350">
        <v>1.1710998210029464</v>
      </c>
      <c r="F34" s="23">
        <f t="shared" si="0"/>
        <v>0.47457814244072832</v>
      </c>
      <c r="G34" s="23">
        <f t="shared" si="1"/>
        <v>0.50513287935845774</v>
      </c>
      <c r="H34" s="23">
        <f>AVERAGE(F34, 'Exhibit 3.3'!F34)</f>
        <v>0.47457814244072832</v>
      </c>
      <c r="I34" s="54"/>
    </row>
    <row r="35" spans="1:9">
      <c r="A35" s="346">
        <f t="shared" si="2"/>
        <v>2011</v>
      </c>
      <c r="B35" s="23">
        <f>'Exhibit 1'!$E30/'Exhibit 1'!$B30</f>
        <v>0.3676158356521978</v>
      </c>
      <c r="C35" s="350">
        <v>0.34558443761587782</v>
      </c>
      <c r="D35" s="23">
        <f ca="1">INDEX('Exhibit 2.6.1'!$B$29:$V$29,COUNT($A35:$A$47))</f>
        <v>1.0096666666666667</v>
      </c>
      <c r="E35" s="350">
        <v>1.1824204526059749</v>
      </c>
      <c r="F35" s="23">
        <f t="shared" si="0"/>
        <v>0.40862610713934755</v>
      </c>
      <c r="G35" s="23">
        <f t="shared" si="1"/>
        <v>0.43065750517566753</v>
      </c>
      <c r="H35" s="23">
        <f>AVERAGE(F35, 'Exhibit 3.3'!F35)</f>
        <v>0.40862610713934755</v>
      </c>
      <c r="I35" s="54"/>
    </row>
    <row r="36" spans="1:9">
      <c r="A36" s="346">
        <f t="shared" si="2"/>
        <v>2012</v>
      </c>
      <c r="B36" s="23">
        <f>'Exhibit 1'!$E31/'Exhibit 1'!$B31</f>
        <v>0.31275338067889696</v>
      </c>
      <c r="C36" s="350">
        <v>0.29674141467288356</v>
      </c>
      <c r="D36" s="20">
        <f ca="1">INDEX('Exhibit 2.6.1'!$B$29:$V$29,COUNT($A36:$A$47))</f>
        <v>1.0113333333333332</v>
      </c>
      <c r="E36" s="350">
        <v>1.1958212177355092</v>
      </c>
      <c r="F36" s="23">
        <f t="shared" si="0"/>
        <v>0.35484967984668531</v>
      </c>
      <c r="G36" s="23">
        <f t="shared" si="1"/>
        <v>0.37086164585269871</v>
      </c>
      <c r="H36" s="23">
        <f>AVERAGE(F36, 'Exhibit 3.3'!F36)</f>
        <v>0.35484967984668531</v>
      </c>
      <c r="I36" s="54"/>
    </row>
    <row r="37" spans="1:9">
      <c r="A37" s="19">
        <f t="shared" si="2"/>
        <v>2013</v>
      </c>
      <c r="B37" s="20">
        <f>'Exhibit 1'!$E32/'Exhibit 1'!$B32</f>
        <v>0.2473823432490079</v>
      </c>
      <c r="C37" s="350">
        <v>0.24712312989468527</v>
      </c>
      <c r="D37" s="20">
        <f ca="1">INDEX('Exhibit 2.6.1'!$B$29:$V$29,COUNT($A37:$A$47))</f>
        <v>1.0129999999999999</v>
      </c>
      <c r="E37" s="350">
        <v>1.2113668935660706</v>
      </c>
      <c r="F37" s="20">
        <f t="shared" si="0"/>
        <v>0.29935677818884948</v>
      </c>
      <c r="G37" s="20">
        <f t="shared" si="1"/>
        <v>0.29961599154317214</v>
      </c>
      <c r="H37" s="20">
        <f>AVERAGE(F37, 'Exhibit 3.3'!F37)</f>
        <v>0.29935677818884948</v>
      </c>
      <c r="I37" s="54"/>
    </row>
    <row r="38" spans="1:9">
      <c r="A38" s="19">
        <f t="shared" si="2"/>
        <v>2014</v>
      </c>
      <c r="B38" s="20">
        <f>'Exhibit 1'!$E33/'Exhibit 1'!$B33</f>
        <v>0.21799398005159737</v>
      </c>
      <c r="C38" s="350">
        <v>0.22185133788484454</v>
      </c>
      <c r="D38" s="20">
        <f ca="1">INDEX('Exhibit 2.6.1'!$B$29:$V$29,COUNT($A38:$A$47))</f>
        <v>1.0146666666666666</v>
      </c>
      <c r="E38" s="350">
        <v>1.2291336080050397</v>
      </c>
      <c r="F38" s="20">
        <f t="shared" si="0"/>
        <v>0.2726849353751441</v>
      </c>
      <c r="G38" s="20">
        <f t="shared" si="1"/>
        <v>0.2688275775418969</v>
      </c>
      <c r="H38" s="20">
        <f>AVERAGE(F38, 'Exhibit 3.3'!F38)</f>
        <v>0.2726849353751441</v>
      </c>
      <c r="I38" s="54"/>
    </row>
    <row r="39" spans="1:9">
      <c r="A39" s="19">
        <f>+A38+1</f>
        <v>2015</v>
      </c>
      <c r="B39" s="121">
        <f>('Exhibit 1'!$E34+'Exhibit 1'!$F34)/'Exhibit 1'!$B34</f>
        <v>0.21781869631741732</v>
      </c>
      <c r="C39" s="121">
        <f>B39</f>
        <v>0.21781869631741732</v>
      </c>
      <c r="D39" s="137">
        <f>INDEX('Exhibit 2.6.1'!$B$49:$V$49,COUNT($A39:$A$47))</f>
        <v>1.0056666666666667</v>
      </c>
      <c r="E39" s="121">
        <f ca="1">INDEX('Exhibit 2.6.1'!$B$50:$V$50,COUNT($A39:$A$47))</f>
        <v>1.1527851542754826</v>
      </c>
      <c r="F39" s="20">
        <f t="shared" ca="1" si="0"/>
        <v>0.25109815943835839</v>
      </c>
      <c r="G39" s="20">
        <f t="shared" ca="1" si="1"/>
        <v>0.25109815943835834</v>
      </c>
      <c r="H39" s="20">
        <f ca="1">AVERAGE(F39, 'Exhibit 3.3'!F39)</f>
        <v>0.2554403939050266</v>
      </c>
      <c r="I39" s="54"/>
    </row>
    <row r="40" spans="1:9">
      <c r="A40" s="19">
        <f>+A39+1</f>
        <v>2016</v>
      </c>
      <c r="B40" s="121">
        <f>('Exhibit 1'!$E35+'Exhibit 1'!$F35)/'Exhibit 1'!$B35</f>
        <v>0.20434349910072733</v>
      </c>
      <c r="C40" s="121">
        <f t="shared" ref="C40:C47" si="3">B40</f>
        <v>0.20434349910072733</v>
      </c>
      <c r="D40" s="137">
        <f ca="1">INDEX('Exhibit 2.6.1'!$B$49:$V$49,COUNT($A40:$A$47))</f>
        <v>1.0089999999999999</v>
      </c>
      <c r="E40" s="121">
        <f ca="1">INDEX('Exhibit 2.6.1'!$B$50:$V$50,COUNT($A40:$A$47))</f>
        <v>1.1631602206639617</v>
      </c>
      <c r="F40" s="20">
        <f t="shared" ca="1" si="0"/>
        <v>0.23768422950524806</v>
      </c>
      <c r="G40" s="20">
        <f t="shared" ca="1" si="1"/>
        <v>0.23768422950524806</v>
      </c>
      <c r="H40" s="20">
        <f ca="1">AVERAGE(F40, 'Exhibit 3.3'!F40)</f>
        <v>0.24266316119456288</v>
      </c>
      <c r="I40" s="54"/>
    </row>
    <row r="41" spans="1:9">
      <c r="A41" s="19">
        <f>+A40+1</f>
        <v>2017</v>
      </c>
      <c r="B41" s="121">
        <f>('Exhibit 1'!$E36+'Exhibit 1'!$F36)/'Exhibit 1'!$B36</f>
        <v>0.21107232586756469</v>
      </c>
      <c r="C41" s="121">
        <f t="shared" si="3"/>
        <v>0.21107232586756469</v>
      </c>
      <c r="D41" s="137">
        <f ca="1">INDEX('Exhibit 2.6.1'!$B$49:$V$49,COUNT($A41:$A$47))</f>
        <v>1.0049999999999999</v>
      </c>
      <c r="E41" s="121">
        <f ca="1">INDEX('Exhibit 2.6.1'!$B$50:$V$50,COUNT($A41:$A$47))</f>
        <v>1.1689760217672813</v>
      </c>
      <c r="F41" s="20">
        <f t="shared" ca="1" si="0"/>
        <v>0.246738487797833</v>
      </c>
      <c r="G41" s="20">
        <f t="shared" ca="1" si="1"/>
        <v>0.24673848779783297</v>
      </c>
      <c r="H41" s="20">
        <f ca="1">AVERAGE(F41, 'Exhibit 3.3'!F41)</f>
        <v>0.25106126040053467</v>
      </c>
      <c r="I41" s="54"/>
    </row>
    <row r="42" spans="1:9">
      <c r="A42" s="19">
        <f t="shared" ref="A42:A47" si="4">+A41+1</f>
        <v>2018</v>
      </c>
      <c r="B42" s="121">
        <f>('Exhibit 1'!$E37+'Exhibit 1'!$F37)/'Exhibit 1'!$B37</f>
        <v>0.22647640697315949</v>
      </c>
      <c r="C42" s="121">
        <f t="shared" si="3"/>
        <v>0.22647640697315949</v>
      </c>
      <c r="D42" s="137">
        <f ca="1">INDEX('Exhibit 2.6.1'!$B$49:$V$49,COUNT($A42:$A$47))</f>
        <v>1.0089999999999999</v>
      </c>
      <c r="E42" s="121">
        <f ca="1">INDEX('Exhibit 2.6.1'!$B$50:$V$50,COUNT($A42:$A$47))</f>
        <v>1.1794968059631867</v>
      </c>
      <c r="F42" s="20">
        <f t="shared" ca="1" si="0"/>
        <v>0.2671281986508604</v>
      </c>
      <c r="G42" s="20">
        <f t="shared" ca="1" si="1"/>
        <v>0.26712819865086035</v>
      </c>
      <c r="H42" s="20">
        <f ca="1">AVERAGE(F42, 'Exhibit 3.3'!F42)</f>
        <v>0.27199961332743861</v>
      </c>
      <c r="I42" s="54"/>
    </row>
    <row r="43" spans="1:9">
      <c r="A43" s="19">
        <f t="shared" si="4"/>
        <v>2019</v>
      </c>
      <c r="B43" s="121">
        <f>('Exhibit 1'!$E38+'Exhibit 1'!$F38)/'Exhibit 1'!$B38</f>
        <v>0.24937562928555496</v>
      </c>
      <c r="C43" s="121">
        <f t="shared" si="3"/>
        <v>0.24937562928555496</v>
      </c>
      <c r="D43" s="137">
        <f ca="1">INDEX('Exhibit 2.6.1'!$B$49:$V$49,COUNT($A43:$A$47))</f>
        <v>1.0289999999999999</v>
      </c>
      <c r="E43" s="121">
        <f ca="1">INDEX('Exhibit 2.6.1'!$B$50:$V$50,COUNT($A43:$A$47))</f>
        <v>1.2137022133361191</v>
      </c>
      <c r="F43" s="20">
        <f t="shared" ca="1" si="0"/>
        <v>0.30266775321596556</v>
      </c>
      <c r="G43" s="20">
        <f t="shared" ca="1" si="1"/>
        <v>0.30266775321596556</v>
      </c>
      <c r="H43" s="20">
        <f ca="1">AVERAGE(F43, 'Exhibit 3.3'!F43)</f>
        <v>0.30695271051480544</v>
      </c>
      <c r="I43" s="54"/>
    </row>
    <row r="44" spans="1:9">
      <c r="A44" s="19">
        <f t="shared" si="4"/>
        <v>2020</v>
      </c>
      <c r="B44" s="121">
        <f>('Exhibit 1'!$E39+'Exhibit 1'!$F39)/'Exhibit 1'!$B39</f>
        <v>0.25223578386240497</v>
      </c>
      <c r="C44" s="121">
        <f t="shared" si="3"/>
        <v>0.25223578386240497</v>
      </c>
      <c r="D44" s="137">
        <f ca="1">INDEX('Exhibit 2.6.1'!$B$49:$V$49,COUNT($A44:$A$47))</f>
        <v>1.0429999999999999</v>
      </c>
      <c r="E44" s="121">
        <f ca="1">INDEX('Exhibit 2.6.1'!$B$50:$V$50,COUNT($A44:$A$47))</f>
        <v>1.265891408509572</v>
      </c>
      <c r="F44" s="20">
        <f t="shared" ca="1" si="0"/>
        <v>0.31930311171009579</v>
      </c>
      <c r="G44" s="20">
        <f t="shared" ca="1" si="1"/>
        <v>0.31930311171009573</v>
      </c>
      <c r="H44" s="20">
        <f ca="1">AVERAGE(F44, 'Exhibit 3.3'!F44)</f>
        <v>0.32040459900956358</v>
      </c>
      <c r="I44" s="54"/>
    </row>
    <row r="45" spans="1:9">
      <c r="A45" s="19">
        <f t="shared" si="4"/>
        <v>2021</v>
      </c>
      <c r="B45" s="121">
        <f>('Exhibit 1'!$E40+'Exhibit 1'!$F40)/'Exhibit 1'!$B40</f>
        <v>0.26698132905332178</v>
      </c>
      <c r="C45" s="121">
        <f t="shared" si="3"/>
        <v>0.26698132905332178</v>
      </c>
      <c r="D45" s="137">
        <f ca="1">INDEX('Exhibit 2.6.1'!$B$49:$V$49,COUNT($A45:$A$47))</f>
        <v>1.0840000000000001</v>
      </c>
      <c r="E45" s="121">
        <f ca="1">INDEX('Exhibit 2.6.1'!$B$50:$V$50,COUNT($A45:$A$47))</f>
        <v>1.3722262868243762</v>
      </c>
      <c r="F45" s="20">
        <f t="shared" ca="1" si="0"/>
        <v>0.36635879781827668</v>
      </c>
      <c r="G45" s="20">
        <f t="shared" ca="1" si="1"/>
        <v>0.36635879781827668</v>
      </c>
      <c r="H45" s="20">
        <f ca="1">AVERAGE(F45, 'Exhibit 3.3'!F45)</f>
        <v>0.36541524718054941</v>
      </c>
      <c r="I45" s="54"/>
    </row>
    <row r="46" spans="1:9">
      <c r="A46" s="19">
        <f t="shared" si="4"/>
        <v>2022</v>
      </c>
      <c r="B46" s="121">
        <f>('Exhibit 1'!$E41+'Exhibit 1'!$F41)/'Exhibit 1'!$B41</f>
        <v>0.22041320283439814</v>
      </c>
      <c r="C46" s="121">
        <f t="shared" si="3"/>
        <v>0.22041320283439814</v>
      </c>
      <c r="D46" s="137">
        <f ca="1">INDEX('Exhibit 2.6.1'!$B$49:$V$49,COUNT($A46:$A$47))</f>
        <v>1.169</v>
      </c>
      <c r="E46" s="121">
        <f ca="1">INDEX('Exhibit 2.6.1'!$B$50:$V$50,COUNT($A46:$A$47))</f>
        <v>1.6041325292976958</v>
      </c>
      <c r="F46" s="20">
        <f t="shared" ca="1" si="0"/>
        <v>0.35357198855334915</v>
      </c>
      <c r="G46" s="20">
        <f t="shared" ca="1" si="1"/>
        <v>0.35357198855334915</v>
      </c>
      <c r="H46" s="20">
        <f ca="1">AVERAGE(F46, 'Exhibit 3.3'!F46)</f>
        <v>0.35294733092252983</v>
      </c>
      <c r="I46" s="54"/>
    </row>
    <row r="47" spans="1:9">
      <c r="A47" s="19">
        <f t="shared" si="4"/>
        <v>2023</v>
      </c>
      <c r="B47" s="121">
        <f>('Exhibit 1'!$E42+'Exhibit 1'!$F42)/'Exhibit 1'!$B42</f>
        <v>0.14748050473344393</v>
      </c>
      <c r="C47" s="121">
        <f t="shared" si="3"/>
        <v>0.14748050473344393</v>
      </c>
      <c r="D47" s="137">
        <f ca="1">INDEX('Exhibit 2.6.1'!$B$49:$V$49,COUNT($A47:$A$47))</f>
        <v>1.5109999999999999</v>
      </c>
      <c r="E47" s="121">
        <f ca="1">INDEX('Exhibit 2.6.1'!$B$50:$V$50,COUNT($A47:$A$47))</f>
        <v>2.4238442517688181</v>
      </c>
      <c r="F47" s="20">
        <f t="shared" ca="1" si="0"/>
        <v>0.35746977364612204</v>
      </c>
      <c r="G47" s="20">
        <f t="shared" ca="1" si="1"/>
        <v>0.35746977364612204</v>
      </c>
      <c r="H47" s="20">
        <f ca="1">AVERAGE(F47, 'Exhibit 3.3'!F47)</f>
        <v>0.35916018025713892</v>
      </c>
      <c r="I47" s="54"/>
    </row>
    <row r="48" spans="1:9">
      <c r="A48" s="19"/>
      <c r="B48" s="20"/>
      <c r="C48" s="20"/>
      <c r="D48" s="20"/>
      <c r="E48" s="32"/>
      <c r="F48" s="20"/>
      <c r="G48" s="323"/>
      <c r="H48" s="323"/>
      <c r="I48" s="54"/>
    </row>
    <row r="49" spans="1:9" ht="12.75" customHeight="1">
      <c r="A49" s="31" t="s">
        <v>22</v>
      </c>
      <c r="B49" s="436" t="s">
        <v>466</v>
      </c>
      <c r="C49" s="436"/>
      <c r="D49" s="436"/>
      <c r="E49" s="436"/>
      <c r="F49" s="436"/>
      <c r="G49" s="436"/>
      <c r="H49" s="436"/>
      <c r="I49" s="436"/>
    </row>
    <row r="50" spans="1:9" ht="12.75" customHeight="1">
      <c r="A50" s="31"/>
      <c r="B50" s="436"/>
      <c r="C50" s="436"/>
      <c r="D50" s="436"/>
      <c r="E50" s="436"/>
      <c r="F50" s="436"/>
      <c r="G50" s="436"/>
      <c r="H50" s="436"/>
      <c r="I50" s="436"/>
    </row>
    <row r="51" spans="1:9" ht="27" customHeight="1">
      <c r="A51" s="31" t="s">
        <v>26</v>
      </c>
      <c r="B51" s="436" t="s">
        <v>467</v>
      </c>
      <c r="C51" s="436"/>
      <c r="D51" s="436"/>
      <c r="E51" s="436"/>
      <c r="F51" s="436"/>
      <c r="G51" s="436"/>
      <c r="H51" s="436"/>
      <c r="I51" s="436"/>
    </row>
    <row r="52" spans="1:9" ht="27" customHeight="1">
      <c r="A52" s="31"/>
      <c r="B52" s="436" t="s">
        <v>468</v>
      </c>
      <c r="C52" s="436"/>
      <c r="D52" s="436"/>
      <c r="E52" s="436"/>
      <c r="F52" s="436"/>
      <c r="G52" s="436"/>
      <c r="H52" s="436"/>
      <c r="I52" s="436"/>
    </row>
    <row r="53" spans="1:9" ht="12.75" customHeight="1">
      <c r="A53" s="31" t="s">
        <v>34</v>
      </c>
      <c r="B53" s="131" t="s">
        <v>237</v>
      </c>
      <c r="C53" s="131"/>
      <c r="D53" s="131"/>
      <c r="E53" s="131"/>
      <c r="F53" s="131"/>
      <c r="G53" s="131"/>
      <c r="H53" s="131"/>
      <c r="I53" s="216"/>
    </row>
    <row r="54" spans="1:9" ht="41.25" customHeight="1">
      <c r="A54" s="31" t="s">
        <v>49</v>
      </c>
      <c r="B54" s="436" t="s">
        <v>330</v>
      </c>
      <c r="C54" s="436"/>
      <c r="D54" s="436"/>
      <c r="E54" s="436"/>
      <c r="F54" s="436"/>
      <c r="G54" s="436"/>
      <c r="H54" s="436"/>
      <c r="I54" s="436"/>
    </row>
    <row r="55" spans="1:9">
      <c r="A55" s="31" t="s">
        <v>36</v>
      </c>
      <c r="B55" s="436" t="s">
        <v>405</v>
      </c>
      <c r="C55" s="436"/>
      <c r="D55" s="436"/>
      <c r="E55" s="436"/>
      <c r="F55" s="436"/>
      <c r="G55" s="436"/>
      <c r="H55" s="436"/>
      <c r="I55" s="436"/>
    </row>
  </sheetData>
  <mergeCells count="7">
    <mergeCell ref="B55:I55"/>
    <mergeCell ref="B52:I52"/>
    <mergeCell ref="B54:I54"/>
    <mergeCell ref="C5:H5"/>
    <mergeCell ref="B49:I50"/>
    <mergeCell ref="D6:E6"/>
    <mergeCell ref="B51:I51"/>
  </mergeCells>
  <printOptions horizontalCentered="1"/>
  <pageMargins left="0.5" right="0.5" top="0.75" bottom="0.75" header="0.33" footer="0.33"/>
  <pageSetup scale="83" orientation="portrait" blackAndWhite="1" horizontalDpi="1200" verticalDpi="1200" r:id="rId1"/>
  <headerFooter scaleWithDoc="0">
    <oddHeader>&amp;R&amp;"Arial,Regular"&amp;10Exhibit 3.4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Q54"/>
  <sheetViews>
    <sheetView zoomScaleNormal="100" zoomScaleSheetLayoutView="100" workbookViewId="0">
      <selection sqref="A1:M1"/>
    </sheetView>
  </sheetViews>
  <sheetFormatPr defaultColWidth="9.140625" defaultRowHeight="12.75"/>
  <cols>
    <col min="1" max="1" width="3.5703125" style="79" customWidth="1"/>
    <col min="2" max="2" width="9" style="79" customWidth="1"/>
    <col min="3" max="3" width="9.140625" style="79"/>
    <col min="4" max="4" width="6.85546875" style="79" customWidth="1"/>
    <col min="5" max="5" width="11" style="79" customWidth="1"/>
    <col min="6" max="6" width="6.42578125" style="79" customWidth="1"/>
    <col min="7" max="7" width="9.140625" style="79"/>
    <col min="8" max="8" width="6.85546875" style="79" customWidth="1"/>
    <col min="9" max="9" width="11" style="79" bestFit="1" customWidth="1"/>
    <col min="10" max="10" width="6.42578125" style="79" customWidth="1"/>
    <col min="11" max="11" width="9.140625" style="79"/>
    <col min="12" max="12" width="10.42578125" style="79" customWidth="1"/>
    <col min="13" max="13" width="3.140625" style="79" customWidth="1"/>
    <col min="14" max="16384" width="9.140625" style="79"/>
  </cols>
  <sheetData>
    <row r="1" spans="1:17">
      <c r="A1" s="439" t="s">
        <v>52</v>
      </c>
      <c r="B1" s="439"/>
      <c r="C1" s="439"/>
      <c r="D1" s="439"/>
      <c r="E1" s="439"/>
      <c r="F1" s="439"/>
      <c r="G1" s="439"/>
      <c r="H1" s="439"/>
      <c r="I1" s="439"/>
      <c r="J1" s="439"/>
      <c r="K1" s="439"/>
      <c r="L1" s="439"/>
      <c r="M1" s="439"/>
      <c r="N1" s="281"/>
      <c r="O1" s="281"/>
      <c r="P1" s="281"/>
      <c r="Q1" s="281"/>
    </row>
    <row r="2" spans="1:17">
      <c r="A2" s="28"/>
      <c r="B2" s="284"/>
      <c r="C2" s="284"/>
      <c r="D2" s="284"/>
      <c r="E2" s="284"/>
      <c r="F2" s="284"/>
      <c r="G2" s="284"/>
      <c r="H2" s="284"/>
      <c r="I2" s="284"/>
      <c r="J2" s="28"/>
      <c r="K2" s="284"/>
      <c r="L2" s="284"/>
      <c r="M2" s="284"/>
      <c r="N2" s="281"/>
      <c r="O2" s="281"/>
      <c r="P2" s="281"/>
      <c r="Q2" s="281"/>
    </row>
    <row r="3" spans="1:17">
      <c r="A3" s="28"/>
      <c r="B3" s="28"/>
      <c r="C3" s="28"/>
      <c r="D3" s="29" t="s">
        <v>38</v>
      </c>
      <c r="E3" s="29"/>
      <c r="F3" s="29" t="s">
        <v>39</v>
      </c>
      <c r="G3" s="28"/>
      <c r="H3" s="29" t="s">
        <v>40</v>
      </c>
      <c r="I3" s="28"/>
      <c r="J3" s="29" t="s">
        <v>41</v>
      </c>
      <c r="K3" s="28"/>
      <c r="L3" s="119" t="s">
        <v>42</v>
      </c>
      <c r="M3" s="28"/>
      <c r="N3" s="119"/>
      <c r="O3" s="281"/>
      <c r="P3" s="281"/>
      <c r="Q3" s="281"/>
    </row>
    <row r="4" spans="1:17">
      <c r="A4" s="28"/>
      <c r="B4" s="28"/>
      <c r="C4" s="28"/>
      <c r="D4" s="28" t="s">
        <v>53</v>
      </c>
      <c r="E4" s="28"/>
      <c r="F4" s="29"/>
      <c r="G4" s="29"/>
      <c r="H4" s="28" t="s">
        <v>54</v>
      </c>
      <c r="I4" s="29"/>
      <c r="J4" s="28" t="s">
        <v>55</v>
      </c>
      <c r="K4" s="29"/>
      <c r="L4" s="20" t="s">
        <v>56</v>
      </c>
      <c r="M4" s="28"/>
      <c r="N4" s="281"/>
      <c r="O4" s="281"/>
      <c r="P4" s="281"/>
      <c r="Q4" s="281"/>
    </row>
    <row r="5" spans="1:17">
      <c r="A5" s="28"/>
      <c r="B5" s="28"/>
      <c r="C5" s="28"/>
      <c r="D5" s="28" t="s">
        <v>57</v>
      </c>
      <c r="E5" s="28"/>
      <c r="F5" s="28"/>
      <c r="G5" s="28"/>
      <c r="H5" s="28" t="s">
        <v>58</v>
      </c>
      <c r="I5" s="28"/>
      <c r="J5" s="28" t="s">
        <v>59</v>
      </c>
      <c r="K5" s="28"/>
      <c r="L5" s="20" t="s">
        <v>3</v>
      </c>
      <c r="M5" s="28"/>
      <c r="N5" s="281"/>
      <c r="O5" s="281"/>
      <c r="P5" s="281"/>
      <c r="Q5" s="281"/>
    </row>
    <row r="6" spans="1:17">
      <c r="A6" s="28"/>
      <c r="B6" s="28" t="s">
        <v>46</v>
      </c>
      <c r="C6" s="28"/>
      <c r="D6" s="28" t="s">
        <v>60</v>
      </c>
      <c r="E6" s="28"/>
      <c r="F6" s="28" t="s">
        <v>60</v>
      </c>
      <c r="G6" s="28"/>
      <c r="H6" s="28" t="s">
        <v>61</v>
      </c>
      <c r="I6" s="28"/>
      <c r="J6" s="28" t="s">
        <v>62</v>
      </c>
      <c r="K6" s="28"/>
      <c r="L6" s="28" t="s">
        <v>63</v>
      </c>
      <c r="M6" s="28"/>
      <c r="N6" s="281"/>
      <c r="O6" s="281"/>
      <c r="P6" s="281"/>
      <c r="Q6" s="281"/>
    </row>
    <row r="7" spans="1:17">
      <c r="A7" s="30"/>
      <c r="B7" s="30" t="s">
        <v>8</v>
      </c>
      <c r="C7" s="30"/>
      <c r="D7" s="30" t="s">
        <v>64</v>
      </c>
      <c r="E7" s="30"/>
      <c r="F7" s="30" t="s">
        <v>64</v>
      </c>
      <c r="G7" s="30"/>
      <c r="H7" s="30" t="s">
        <v>65</v>
      </c>
      <c r="I7" s="30"/>
      <c r="J7" s="30" t="s">
        <v>66</v>
      </c>
      <c r="K7" s="30"/>
      <c r="L7" s="218" t="s">
        <v>67</v>
      </c>
      <c r="M7" s="30"/>
      <c r="N7" s="281"/>
      <c r="O7" s="281"/>
      <c r="P7" s="281"/>
      <c r="Q7" s="281"/>
    </row>
    <row r="8" spans="1:17">
      <c r="A8" s="28"/>
      <c r="B8" s="28"/>
      <c r="C8" s="28"/>
      <c r="D8" s="83"/>
      <c r="E8" s="83"/>
      <c r="F8" s="83"/>
      <c r="G8" s="28"/>
      <c r="H8" s="84"/>
      <c r="I8" s="28"/>
      <c r="J8" s="284"/>
      <c r="K8" s="28"/>
      <c r="L8" s="20"/>
      <c r="M8" s="28"/>
      <c r="N8" s="281"/>
      <c r="O8" s="281"/>
      <c r="P8" s="281"/>
      <c r="Q8" s="281"/>
    </row>
    <row r="9" spans="1:17">
      <c r="A9" s="28"/>
      <c r="B9" s="28">
        <v>1987</v>
      </c>
      <c r="C9" s="28"/>
      <c r="D9" s="365">
        <v>0</v>
      </c>
      <c r="E9" s="366"/>
      <c r="F9" s="365">
        <v>0</v>
      </c>
      <c r="G9" s="367"/>
      <c r="H9" s="365">
        <v>1.9</v>
      </c>
      <c r="I9" s="84"/>
      <c r="J9" s="35">
        <f>+(((1+D9/100)*(1+F9/100)*(1+H9/100)-1))*100</f>
        <v>1.8999999999999906</v>
      </c>
      <c r="K9" s="28"/>
      <c r="L9" s="21">
        <f t="shared" ref="L9:L22" si="0">L10*(1+J10/100)</f>
        <v>1.786790078649235</v>
      </c>
      <c r="M9" s="28"/>
      <c r="N9" s="281"/>
      <c r="O9" s="40"/>
      <c r="P9" s="281"/>
      <c r="Q9" s="160"/>
    </row>
    <row r="10" spans="1:17">
      <c r="A10" s="28"/>
      <c r="B10" s="28">
        <f t="shared" ref="B10:B47" si="1">B9+1</f>
        <v>1988</v>
      </c>
      <c r="C10" s="28"/>
      <c r="D10" s="365">
        <v>0</v>
      </c>
      <c r="E10" s="366"/>
      <c r="F10" s="365">
        <v>0</v>
      </c>
      <c r="G10" s="367"/>
      <c r="H10" s="365">
        <v>1.5</v>
      </c>
      <c r="I10" s="35"/>
      <c r="J10" s="35">
        <f t="shared" ref="J10:J48" si="2">+(((1+D10/100)*(1+F10/100)*(1+H10/100)-1))*100</f>
        <v>1.4999999999999902</v>
      </c>
      <c r="K10" s="28"/>
      <c r="L10" s="21">
        <f t="shared" si="0"/>
        <v>1.7603843139401332</v>
      </c>
      <c r="M10" s="28"/>
      <c r="N10" s="281"/>
      <c r="O10" s="40"/>
      <c r="P10" s="281"/>
      <c r="Q10" s="160"/>
    </row>
    <row r="11" spans="1:17">
      <c r="A11" s="28"/>
      <c r="B11" s="28">
        <f t="shared" si="1"/>
        <v>1989</v>
      </c>
      <c r="C11" s="28"/>
      <c r="D11" s="365">
        <v>0</v>
      </c>
      <c r="E11" s="366"/>
      <c r="F11" s="365">
        <v>0</v>
      </c>
      <c r="G11" s="367"/>
      <c r="H11" s="365">
        <v>1.5</v>
      </c>
      <c r="I11" s="35"/>
      <c r="J11" s="35">
        <f t="shared" si="2"/>
        <v>1.4999999999999902</v>
      </c>
      <c r="K11" s="28"/>
      <c r="L11" s="21">
        <f t="shared" si="0"/>
        <v>1.7343687822070279</v>
      </c>
      <c r="M11" s="28"/>
      <c r="N11" s="281"/>
      <c r="O11" s="40"/>
      <c r="P11" s="281"/>
      <c r="Q11" s="160"/>
    </row>
    <row r="12" spans="1:17">
      <c r="A12" s="28"/>
      <c r="B12" s="28">
        <f t="shared" si="1"/>
        <v>1990</v>
      </c>
      <c r="C12" s="28"/>
      <c r="D12" s="365">
        <v>2.2999999999999998</v>
      </c>
      <c r="E12" s="366"/>
      <c r="F12" s="365">
        <v>19.899999999999999</v>
      </c>
      <c r="G12" s="367"/>
      <c r="H12" s="365">
        <v>1.7000000000000002</v>
      </c>
      <c r="I12" s="35"/>
      <c r="J12" s="35">
        <f t="shared" si="2"/>
        <v>24.742880899999985</v>
      </c>
      <c r="K12" s="28"/>
      <c r="L12" s="21">
        <f t="shared" si="0"/>
        <v>1.3903549202117458</v>
      </c>
      <c r="M12" s="28"/>
      <c r="N12" s="281"/>
      <c r="O12" s="40"/>
      <c r="P12" s="281"/>
      <c r="Q12" s="160"/>
    </row>
    <row r="13" spans="1:17">
      <c r="A13" s="28"/>
      <c r="B13" s="28">
        <f t="shared" si="1"/>
        <v>1991</v>
      </c>
      <c r="C13" s="28"/>
      <c r="D13" s="365">
        <v>4.9000000000000004</v>
      </c>
      <c r="E13" s="366"/>
      <c r="F13" s="365">
        <v>14.8</v>
      </c>
      <c r="G13" s="367"/>
      <c r="H13" s="365">
        <v>0.8</v>
      </c>
      <c r="I13" s="35"/>
      <c r="J13" s="35">
        <f t="shared" si="2"/>
        <v>21.388601600000001</v>
      </c>
      <c r="K13" s="28"/>
      <c r="L13" s="21">
        <f t="shared" si="0"/>
        <v>1.1453751850550569</v>
      </c>
      <c r="M13" s="28"/>
      <c r="N13" s="281"/>
      <c r="O13" s="40"/>
      <c r="P13" s="281"/>
      <c r="Q13" s="160"/>
    </row>
    <row r="14" spans="1:17">
      <c r="A14" s="28"/>
      <c r="B14" s="28">
        <f t="shared" si="1"/>
        <v>1992</v>
      </c>
      <c r="C14" s="28"/>
      <c r="D14" s="365">
        <v>1.8</v>
      </c>
      <c r="E14" s="366"/>
      <c r="F14" s="365">
        <v>-8.3000000000000007</v>
      </c>
      <c r="G14" s="367"/>
      <c r="H14" s="365">
        <v>1.6</v>
      </c>
      <c r="I14" s="35"/>
      <c r="J14" s="35">
        <f t="shared" si="2"/>
        <v>-5.1557903999999937</v>
      </c>
      <c r="K14" s="28"/>
      <c r="L14" s="21">
        <f t="shared" si="0"/>
        <v>1.2076384946277805</v>
      </c>
      <c r="M14" s="28"/>
      <c r="N14" s="281"/>
      <c r="O14" s="40"/>
      <c r="P14" s="281"/>
      <c r="Q14" s="160"/>
    </row>
    <row r="15" spans="1:17">
      <c r="A15" s="28"/>
      <c r="B15" s="28">
        <f t="shared" si="1"/>
        <v>1993</v>
      </c>
      <c r="C15" s="28"/>
      <c r="D15" s="365">
        <v>0.2</v>
      </c>
      <c r="E15" s="366"/>
      <c r="F15" s="365">
        <v>-18.100000000000001</v>
      </c>
      <c r="G15" s="367"/>
      <c r="H15" s="365">
        <v>0.4</v>
      </c>
      <c r="I15" s="35"/>
      <c r="J15" s="35">
        <f t="shared" si="2"/>
        <v>-17.607944799999999</v>
      </c>
      <c r="K15" s="28"/>
      <c r="L15" s="21">
        <f t="shared" si="0"/>
        <v>1.4657220185809621</v>
      </c>
      <c r="M15" s="28"/>
      <c r="N15" s="281"/>
      <c r="O15" s="40"/>
      <c r="P15" s="281"/>
      <c r="Q15" s="160"/>
    </row>
    <row r="16" spans="1:17">
      <c r="A16" s="28"/>
      <c r="B16" s="28">
        <f t="shared" si="1"/>
        <v>1994</v>
      </c>
      <c r="C16" s="28"/>
      <c r="D16" s="365">
        <v>-5.0999999999999996</v>
      </c>
      <c r="E16" s="366"/>
      <c r="F16" s="365">
        <v>0.2</v>
      </c>
      <c r="G16" s="367"/>
      <c r="H16" s="365">
        <v>0.6</v>
      </c>
      <c r="I16" s="35"/>
      <c r="J16" s="35">
        <f t="shared" si="2"/>
        <v>-4.3396612000000108</v>
      </c>
      <c r="K16" s="28"/>
      <c r="L16" s="21">
        <f t="shared" si="0"/>
        <v>1.532214956551003</v>
      </c>
      <c r="M16" s="28"/>
      <c r="N16" s="281"/>
      <c r="O16" s="40"/>
      <c r="P16" s="281"/>
      <c r="Q16" s="160"/>
    </row>
    <row r="17" spans="1:17">
      <c r="A17" s="28"/>
      <c r="B17" s="28">
        <f t="shared" si="1"/>
        <v>1995</v>
      </c>
      <c r="C17" s="28"/>
      <c r="D17" s="365">
        <v>6.3</v>
      </c>
      <c r="E17" s="366"/>
      <c r="F17" s="365">
        <v>0.6</v>
      </c>
      <c r="G17" s="367"/>
      <c r="H17" s="365">
        <v>1</v>
      </c>
      <c r="I17" s="35"/>
      <c r="J17" s="35">
        <f t="shared" si="2"/>
        <v>8.0071779999999926</v>
      </c>
      <c r="K17" s="28"/>
      <c r="L17" s="21">
        <f t="shared" si="0"/>
        <v>1.4186232664564231</v>
      </c>
      <c r="M17" s="28"/>
      <c r="N17" s="281"/>
      <c r="O17" s="40"/>
      <c r="P17" s="281"/>
      <c r="Q17" s="160"/>
    </row>
    <row r="18" spans="1:17">
      <c r="A18" s="28"/>
      <c r="B18" s="28">
        <f t="shared" si="1"/>
        <v>1996</v>
      </c>
      <c r="C18" s="28"/>
      <c r="D18" s="365">
        <v>5.3</v>
      </c>
      <c r="E18" s="366"/>
      <c r="F18" s="365">
        <v>0.4</v>
      </c>
      <c r="G18" s="367"/>
      <c r="H18" s="365">
        <v>1.2</v>
      </c>
      <c r="I18" s="35"/>
      <c r="J18" s="35">
        <f t="shared" si="2"/>
        <v>6.9898543999999951</v>
      </c>
      <c r="K18" s="28"/>
      <c r="L18" s="21">
        <f t="shared" si="0"/>
        <v>1.3259418609475397</v>
      </c>
      <c r="M18" s="28"/>
      <c r="N18" s="281"/>
      <c r="O18" s="40"/>
      <c r="P18" s="281"/>
      <c r="Q18" s="160"/>
    </row>
    <row r="19" spans="1:17">
      <c r="A19" s="28"/>
      <c r="B19" s="28">
        <f t="shared" si="1"/>
        <v>1997</v>
      </c>
      <c r="C19" s="28"/>
      <c r="D19" s="365">
        <v>9.6999999999999993</v>
      </c>
      <c r="E19" s="366"/>
      <c r="F19" s="365">
        <v>0.2</v>
      </c>
      <c r="G19" s="367"/>
      <c r="H19" s="365">
        <v>1.6</v>
      </c>
      <c r="I19" s="35"/>
      <c r="J19" s="35">
        <f t="shared" si="2"/>
        <v>11.678110399999998</v>
      </c>
      <c r="K19" s="28"/>
      <c r="L19" s="21">
        <f t="shared" si="0"/>
        <v>1.1872889469551231</v>
      </c>
      <c r="M19" s="28"/>
      <c r="N19" s="281"/>
      <c r="O19" s="40"/>
      <c r="P19" s="281"/>
      <c r="Q19" s="160"/>
    </row>
    <row r="20" spans="1:17">
      <c r="A20" s="28"/>
      <c r="B20" s="28">
        <f t="shared" si="1"/>
        <v>1998</v>
      </c>
      <c r="C20" s="28"/>
      <c r="D20" s="365">
        <v>6.5</v>
      </c>
      <c r="E20" s="366"/>
      <c r="F20" s="365">
        <v>0</v>
      </c>
      <c r="G20" s="367"/>
      <c r="H20" s="365">
        <v>1.8000000000000003</v>
      </c>
      <c r="I20" s="35"/>
      <c r="J20" s="35">
        <f t="shared" si="2"/>
        <v>8.4169999999999856</v>
      </c>
      <c r="K20" s="28"/>
      <c r="L20" s="21">
        <f t="shared" si="0"/>
        <v>1.0951132635611789</v>
      </c>
      <c r="M20" s="28"/>
      <c r="N20" s="281"/>
      <c r="O20" s="40"/>
      <c r="P20" s="281"/>
      <c r="Q20" s="160"/>
    </row>
    <row r="21" spans="1:17">
      <c r="A21" s="28"/>
      <c r="B21" s="28">
        <f t="shared" si="1"/>
        <v>1999</v>
      </c>
      <c r="C21" s="28"/>
      <c r="D21" s="365">
        <v>5.7</v>
      </c>
      <c r="E21" s="366"/>
      <c r="F21" s="365">
        <v>0</v>
      </c>
      <c r="G21" s="367"/>
      <c r="H21" s="365">
        <v>2.1</v>
      </c>
      <c r="I21" s="35"/>
      <c r="J21" s="35">
        <f t="shared" si="2"/>
        <v>7.919699999999974</v>
      </c>
      <c r="K21" s="28"/>
      <c r="L21" s="21">
        <f t="shared" si="0"/>
        <v>1.0147482466696804</v>
      </c>
      <c r="M21" s="28"/>
      <c r="N21" s="281"/>
      <c r="O21" s="40"/>
      <c r="P21" s="281"/>
      <c r="Q21" s="160"/>
    </row>
    <row r="22" spans="1:17">
      <c r="A22" s="28"/>
      <c r="B22" s="28">
        <f t="shared" si="1"/>
        <v>2000</v>
      </c>
      <c r="C22" s="28"/>
      <c r="D22" s="365">
        <v>3.9</v>
      </c>
      <c r="E22" s="366"/>
      <c r="F22" s="365">
        <v>0</v>
      </c>
      <c r="G22" s="367"/>
      <c r="H22" s="365">
        <v>3.1</v>
      </c>
      <c r="I22" s="35"/>
      <c r="J22" s="35">
        <f t="shared" si="2"/>
        <v>7.1208999999999856</v>
      </c>
      <c r="K22" s="28"/>
      <c r="L22" s="21">
        <f t="shared" si="0"/>
        <v>0.94729249536708571</v>
      </c>
      <c r="M22" s="28"/>
      <c r="N22" s="281"/>
      <c r="O22" s="40"/>
      <c r="P22" s="281"/>
      <c r="Q22" s="160"/>
    </row>
    <row r="23" spans="1:17">
      <c r="A23" s="28"/>
      <c r="B23" s="28">
        <f t="shared" si="1"/>
        <v>2001</v>
      </c>
      <c r="C23" s="28"/>
      <c r="D23" s="365">
        <v>-0.3</v>
      </c>
      <c r="E23" s="368"/>
      <c r="F23" s="365">
        <v>0</v>
      </c>
      <c r="G23" s="367"/>
      <c r="H23" s="365">
        <v>0.2</v>
      </c>
      <c r="I23" s="35"/>
      <c r="J23" s="35">
        <f t="shared" si="2"/>
        <v>-0.10059999999999514</v>
      </c>
      <c r="K23" s="28"/>
      <c r="L23" s="304">
        <f>+(J25/100+1)*(J26/100+1)*(J27/100+1)*(J24/100+1)*L27</f>
        <v>0.9482464312769503</v>
      </c>
      <c r="M23" s="28"/>
      <c r="N23" s="281"/>
      <c r="O23" s="40"/>
      <c r="P23" s="281"/>
      <c r="Q23" s="160"/>
    </row>
    <row r="24" spans="1:17">
      <c r="A24" s="28"/>
      <c r="B24" s="28">
        <f t="shared" si="1"/>
        <v>2002</v>
      </c>
      <c r="C24" s="28"/>
      <c r="D24" s="365">
        <v>-0.7</v>
      </c>
      <c r="E24" s="368"/>
      <c r="F24" s="365">
        <v>0</v>
      </c>
      <c r="G24" s="367"/>
      <c r="H24" s="365">
        <v>0.4</v>
      </c>
      <c r="I24" s="35"/>
      <c r="J24" s="35">
        <f t="shared" si="2"/>
        <v>-0.30280000000000307</v>
      </c>
      <c r="K24" s="28"/>
      <c r="L24" s="370">
        <v>0.97126958893133419</v>
      </c>
      <c r="M24" s="100" t="s">
        <v>36</v>
      </c>
      <c r="N24" s="281"/>
      <c r="O24" s="40"/>
      <c r="P24" s="281"/>
      <c r="Q24" s="160"/>
    </row>
    <row r="25" spans="1:17">
      <c r="A25" s="28"/>
      <c r="B25" s="28">
        <f t="shared" si="1"/>
        <v>2003</v>
      </c>
      <c r="C25" s="28"/>
      <c r="D25" s="365">
        <v>7.3436000000000057</v>
      </c>
      <c r="E25" s="368"/>
      <c r="F25" s="365">
        <v>0</v>
      </c>
      <c r="G25" s="367"/>
      <c r="H25" s="365">
        <v>1.2</v>
      </c>
      <c r="I25" s="35"/>
      <c r="J25" s="35">
        <f t="shared" si="2"/>
        <v>8.6317232000000068</v>
      </c>
      <c r="K25" s="28"/>
      <c r="L25" s="370">
        <v>0.96826428330248937</v>
      </c>
      <c r="M25" s="100" t="s">
        <v>36</v>
      </c>
      <c r="N25" s="281"/>
      <c r="O25" s="40"/>
      <c r="P25" s="281"/>
      <c r="Q25" s="160"/>
    </row>
    <row r="26" spans="1:17">
      <c r="A26" s="28"/>
      <c r="B26" s="28">
        <f t="shared" si="1"/>
        <v>2004</v>
      </c>
      <c r="C26" s="28"/>
      <c r="D26" s="365">
        <v>-5.9782388663967678</v>
      </c>
      <c r="E26" s="368"/>
      <c r="F26" s="365">
        <v>-13.7</v>
      </c>
      <c r="G26" s="367"/>
      <c r="H26" s="365">
        <v>2.1</v>
      </c>
      <c r="I26" s="35"/>
      <c r="J26" s="35">
        <f t="shared" si="2"/>
        <v>-17.155263764676132</v>
      </c>
      <c r="K26" s="28"/>
      <c r="L26" s="370">
        <v>1.3254462973525922</v>
      </c>
      <c r="M26" s="100" t="s">
        <v>36</v>
      </c>
      <c r="N26" s="281"/>
      <c r="O26" s="40"/>
      <c r="P26" s="281"/>
      <c r="Q26" s="160"/>
    </row>
    <row r="27" spans="1:17">
      <c r="A27" s="28"/>
      <c r="B27" s="28">
        <f t="shared" si="1"/>
        <v>2005</v>
      </c>
      <c r="C27" s="28"/>
      <c r="D27" s="365">
        <v>-31.634572864321608</v>
      </c>
      <c r="E27" s="368"/>
      <c r="F27" s="365">
        <v>-15.3</v>
      </c>
      <c r="G27" s="367"/>
      <c r="H27" s="365">
        <v>1.6</v>
      </c>
      <c r="I27" s="35"/>
      <c r="J27" s="35">
        <f t="shared" si="2"/>
        <v>-41.167994947537693</v>
      </c>
      <c r="K27" s="28"/>
      <c r="L27" s="21">
        <f t="shared" ref="L27:L46" si="3">L28*(1+J28/100)</f>
        <v>1.7963998806012098</v>
      </c>
      <c r="M27" s="47"/>
      <c r="N27" s="281"/>
      <c r="O27" s="40"/>
      <c r="P27" s="281"/>
      <c r="Q27" s="160"/>
    </row>
    <row r="28" spans="1:17">
      <c r="A28" s="28"/>
      <c r="B28" s="28">
        <f t="shared" si="1"/>
        <v>2006</v>
      </c>
      <c r="C28" s="28"/>
      <c r="D28" s="365">
        <v>5.6</v>
      </c>
      <c r="E28" s="368"/>
      <c r="F28" s="365">
        <v>-5.7</v>
      </c>
      <c r="G28" s="367"/>
      <c r="H28" s="365">
        <v>2.2000000000000002</v>
      </c>
      <c r="I28" s="35"/>
      <c r="J28" s="35">
        <f t="shared" si="2"/>
        <v>1.7715775999999961</v>
      </c>
      <c r="K28" s="28"/>
      <c r="L28" s="21">
        <f t="shared" si="3"/>
        <v>1.7651292462633594</v>
      </c>
      <c r="M28" s="28"/>
      <c r="N28" s="281"/>
      <c r="O28" s="40"/>
      <c r="P28" s="281"/>
      <c r="Q28" s="160"/>
    </row>
    <row r="29" spans="1:17">
      <c r="A29" s="28"/>
      <c r="B29" s="28">
        <f t="shared" si="1"/>
        <v>2007</v>
      </c>
      <c r="C29" s="28"/>
      <c r="D29" s="365">
        <v>1.6</v>
      </c>
      <c r="E29" s="366"/>
      <c r="F29" s="365">
        <v>0</v>
      </c>
      <c r="G29" s="367"/>
      <c r="H29" s="365">
        <v>2.1</v>
      </c>
      <c r="I29" s="35"/>
      <c r="J29" s="35">
        <f t="shared" si="2"/>
        <v>3.7335999999999814</v>
      </c>
      <c r="K29" s="28"/>
      <c r="L29" s="21">
        <f t="shared" si="3"/>
        <v>1.7015983695382786</v>
      </c>
      <c r="M29" s="28"/>
      <c r="N29" s="281"/>
      <c r="O29" s="40"/>
      <c r="P29" s="281"/>
      <c r="Q29" s="160"/>
    </row>
    <row r="30" spans="1:17">
      <c r="A30" s="28"/>
      <c r="B30" s="28">
        <f t="shared" si="1"/>
        <v>2008</v>
      </c>
      <c r="C30" s="28"/>
      <c r="D30" s="365">
        <v>4.8</v>
      </c>
      <c r="E30" s="366"/>
      <c r="F30" s="365">
        <v>0.6</v>
      </c>
      <c r="G30" s="367"/>
      <c r="H30" s="365">
        <v>1</v>
      </c>
      <c r="I30" s="120"/>
      <c r="J30" s="35">
        <f t="shared" si="2"/>
        <v>6.4830880000000146</v>
      </c>
      <c r="K30" s="28"/>
      <c r="L30" s="21">
        <f t="shared" si="3"/>
        <v>1.5979987071170196</v>
      </c>
      <c r="M30" s="28"/>
      <c r="N30" s="281"/>
      <c r="O30" s="40"/>
      <c r="P30" s="281"/>
      <c r="Q30" s="160"/>
    </row>
    <row r="31" spans="1:17">
      <c r="A31" s="28"/>
      <c r="B31" s="28">
        <f t="shared" si="1"/>
        <v>2009</v>
      </c>
      <c r="C31" s="281"/>
      <c r="D31" s="365">
        <v>0.4</v>
      </c>
      <c r="E31" s="366"/>
      <c r="F31" s="365">
        <v>1.4</v>
      </c>
      <c r="G31" s="367"/>
      <c r="H31" s="365">
        <v>0.2</v>
      </c>
      <c r="I31" s="120"/>
      <c r="J31" s="35">
        <f t="shared" si="2"/>
        <v>2.0092112000000162</v>
      </c>
      <c r="K31" s="28"/>
      <c r="L31" s="21">
        <f t="shared" si="3"/>
        <v>1.5665239328083536</v>
      </c>
      <c r="M31" s="28"/>
      <c r="N31" s="281"/>
      <c r="O31" s="40"/>
      <c r="P31" s="281"/>
      <c r="Q31" s="160"/>
    </row>
    <row r="32" spans="1:17">
      <c r="A32" s="28"/>
      <c r="B32" s="28">
        <f t="shared" si="1"/>
        <v>2010</v>
      </c>
      <c r="C32" s="28"/>
      <c r="D32" s="365">
        <v>0.4</v>
      </c>
      <c r="E32" s="366"/>
      <c r="F32" s="365">
        <v>0</v>
      </c>
      <c r="G32" s="369"/>
      <c r="H32" s="365">
        <v>1.5</v>
      </c>
      <c r="I32" s="120"/>
      <c r="J32" s="35">
        <f t="shared" si="2"/>
        <v>1.9059999999999855</v>
      </c>
      <c r="K32" s="28"/>
      <c r="L32" s="21">
        <f t="shared" si="3"/>
        <v>1.5372244350758089</v>
      </c>
      <c r="M32" s="28"/>
      <c r="N32" s="281"/>
      <c r="O32" s="40"/>
      <c r="P32" s="281"/>
      <c r="Q32" s="160"/>
    </row>
    <row r="33" spans="1:17">
      <c r="A33" s="28"/>
      <c r="B33" s="28">
        <f t="shared" si="1"/>
        <v>2011</v>
      </c>
      <c r="C33" s="28"/>
      <c r="D33" s="365">
        <v>0</v>
      </c>
      <c r="E33" s="366"/>
      <c r="F33" s="365">
        <v>0</v>
      </c>
      <c r="G33" s="367"/>
      <c r="H33" s="365">
        <v>1.4</v>
      </c>
      <c r="I33" s="120"/>
      <c r="J33" s="35">
        <f t="shared" si="2"/>
        <v>1.4000000000000012</v>
      </c>
      <c r="K33" s="28"/>
      <c r="L33" s="21">
        <f t="shared" si="3"/>
        <v>1.5160004290688449</v>
      </c>
      <c r="M33" s="100"/>
      <c r="N33" s="281"/>
      <c r="O33" s="40"/>
      <c r="P33" s="281"/>
      <c r="Q33" s="160"/>
    </row>
    <row r="34" spans="1:17">
      <c r="A34" s="28"/>
      <c r="B34" s="28">
        <f t="shared" si="1"/>
        <v>2012</v>
      </c>
      <c r="C34" s="28"/>
      <c r="D34" s="365">
        <v>-0.82837500000000341</v>
      </c>
      <c r="E34" s="366"/>
      <c r="F34" s="365">
        <v>0</v>
      </c>
      <c r="G34" s="367"/>
      <c r="H34" s="365">
        <v>2.1</v>
      </c>
      <c r="I34" s="120"/>
      <c r="J34" s="35">
        <f t="shared" si="2"/>
        <v>1.2542291249999948</v>
      </c>
      <c r="K34" s="28"/>
      <c r="L34" s="21">
        <f t="shared" si="3"/>
        <v>1.497221836726758</v>
      </c>
      <c r="M34" s="100"/>
      <c r="N34" s="281"/>
      <c r="O34" s="40"/>
      <c r="P34" s="281"/>
      <c r="Q34" s="160"/>
    </row>
    <row r="35" spans="1:17">
      <c r="A35" s="28"/>
      <c r="B35" s="28">
        <f t="shared" si="1"/>
        <v>2013</v>
      </c>
      <c r="C35" s="28"/>
      <c r="D35" s="365">
        <v>1.4457500000000012</v>
      </c>
      <c r="E35" s="366"/>
      <c r="F35" s="365">
        <v>0.2</v>
      </c>
      <c r="G35" s="367"/>
      <c r="H35" s="365">
        <v>0.6</v>
      </c>
      <c r="I35" s="120"/>
      <c r="J35" s="35">
        <f t="shared" si="2"/>
        <v>2.2585333489999915</v>
      </c>
      <c r="K35" s="28"/>
      <c r="L35" s="21">
        <f t="shared" si="3"/>
        <v>1.4641534429374834</v>
      </c>
      <c r="M35" s="100"/>
      <c r="N35" s="281"/>
      <c r="O35" s="40"/>
      <c r="P35" s="281"/>
      <c r="Q35" s="160"/>
    </row>
    <row r="36" spans="1:17">
      <c r="A36" s="28"/>
      <c r="B36" s="28">
        <f t="shared" si="1"/>
        <v>2014</v>
      </c>
      <c r="C36" s="28"/>
      <c r="D36" s="365">
        <v>5.7863625000000196</v>
      </c>
      <c r="E36" s="366"/>
      <c r="F36" s="365">
        <v>1.4967259120673537</v>
      </c>
      <c r="G36" s="367"/>
      <c r="H36" s="365">
        <v>1.7000000000000002</v>
      </c>
      <c r="I36" s="120"/>
      <c r="J36" s="35">
        <f t="shared" si="2"/>
        <v>9.1949792037535172</v>
      </c>
      <c r="K36" s="28"/>
      <c r="L36" s="21">
        <f t="shared" si="3"/>
        <v>1.3408615062835727</v>
      </c>
      <c r="M36" s="100"/>
      <c r="N36" s="281"/>
      <c r="O36" s="40"/>
      <c r="P36" s="281"/>
      <c r="Q36" s="160"/>
    </row>
    <row r="37" spans="1:17">
      <c r="A37" s="28"/>
      <c r="B37" s="28">
        <f t="shared" si="1"/>
        <v>2015</v>
      </c>
      <c r="C37" s="28"/>
      <c r="D37" s="365">
        <v>-0.83826250000000879</v>
      </c>
      <c r="E37" s="366"/>
      <c r="F37" s="365">
        <v>0</v>
      </c>
      <c r="G37" s="367"/>
      <c r="H37" s="365">
        <v>2.2999999999999998</v>
      </c>
      <c r="I37" s="120"/>
      <c r="J37" s="35">
        <f t="shared" si="2"/>
        <v>1.4424574624999797</v>
      </c>
      <c r="K37" s="28"/>
      <c r="L37" s="21">
        <f t="shared" si="3"/>
        <v>1.3217951731692286</v>
      </c>
      <c r="M37" s="28"/>
      <c r="N37" s="281"/>
      <c r="O37" s="40"/>
      <c r="P37" s="281"/>
      <c r="Q37" s="160"/>
    </row>
    <row r="38" spans="1:17">
      <c r="A38" s="28"/>
      <c r="B38" s="28">
        <f t="shared" si="1"/>
        <v>2016</v>
      </c>
      <c r="C38" s="28"/>
      <c r="D38" s="365">
        <v>0.26999999999999247</v>
      </c>
      <c r="E38" s="366"/>
      <c r="F38" s="365">
        <v>0</v>
      </c>
      <c r="G38" s="367"/>
      <c r="H38" s="365">
        <v>1</v>
      </c>
      <c r="I38" s="120"/>
      <c r="J38" s="35">
        <f t="shared" si="2"/>
        <v>1.2726999999999933</v>
      </c>
      <c r="K38" s="28"/>
      <c r="L38" s="21">
        <f t="shared" si="3"/>
        <v>1.3051840951897486</v>
      </c>
      <c r="M38" s="28"/>
      <c r="N38" s="281"/>
      <c r="O38" s="281"/>
      <c r="P38" s="281"/>
      <c r="Q38" s="160"/>
    </row>
    <row r="39" spans="1:17">
      <c r="A39" s="28"/>
      <c r="B39" s="28">
        <f t="shared" si="1"/>
        <v>2017</v>
      </c>
      <c r="C39" s="28"/>
      <c r="D39" s="365">
        <v>0.46999999999999265</v>
      </c>
      <c r="E39" s="366"/>
      <c r="F39" s="365">
        <v>0</v>
      </c>
      <c r="G39" s="367"/>
      <c r="H39" s="365">
        <v>2.2000000000000002</v>
      </c>
      <c r="I39" s="120"/>
      <c r="J39" s="35">
        <f t="shared" si="2"/>
        <v>2.6803399999999922</v>
      </c>
      <c r="K39" s="28"/>
      <c r="L39" s="21">
        <f t="shared" si="3"/>
        <v>1.2711139203373778</v>
      </c>
      <c r="M39" s="28"/>
      <c r="N39" s="281"/>
      <c r="O39" s="281"/>
      <c r="P39" s="281"/>
      <c r="Q39" s="160"/>
    </row>
    <row r="40" spans="1:17">
      <c r="A40" s="28"/>
      <c r="B40" s="28">
        <f t="shared" si="1"/>
        <v>2018</v>
      </c>
      <c r="C40" s="28"/>
      <c r="D40" s="365">
        <v>0.43999999999999595</v>
      </c>
      <c r="E40" s="366"/>
      <c r="F40" s="365">
        <v>0</v>
      </c>
      <c r="G40" s="367"/>
      <c r="H40" s="365">
        <v>2.1999999999999997</v>
      </c>
      <c r="I40" s="120"/>
      <c r="J40" s="35">
        <f t="shared" si="2"/>
        <v>2.6496799999999876</v>
      </c>
      <c r="K40" s="28"/>
      <c r="L40" s="21">
        <f t="shared" si="3"/>
        <v>1.2383028571909604</v>
      </c>
      <c r="M40" s="28"/>
      <c r="N40" s="281"/>
      <c r="O40" s="281"/>
      <c r="P40" s="281"/>
      <c r="Q40" s="160"/>
    </row>
    <row r="41" spans="1:17" s="199" customFormat="1">
      <c r="A41" s="28"/>
      <c r="B41" s="28">
        <f t="shared" si="1"/>
        <v>2019</v>
      </c>
      <c r="C41" s="28"/>
      <c r="D41" s="365">
        <v>0.37</v>
      </c>
      <c r="E41" s="367"/>
      <c r="F41" s="365">
        <v>0</v>
      </c>
      <c r="G41" s="367"/>
      <c r="H41" s="365">
        <v>2.4</v>
      </c>
      <c r="I41" s="120"/>
      <c r="J41" s="35">
        <f t="shared" si="2"/>
        <v>2.7788800000000169</v>
      </c>
      <c r="K41" s="28"/>
      <c r="L41" s="21">
        <f t="shared" si="3"/>
        <v>1.2048222914970081</v>
      </c>
      <c r="M41" s="28"/>
      <c r="N41" s="281"/>
      <c r="O41" s="281"/>
      <c r="P41" s="281"/>
      <c r="Q41" s="160"/>
    </row>
    <row r="42" spans="1:17" s="107" customFormat="1">
      <c r="A42" s="28"/>
      <c r="B42" s="28">
        <f t="shared" si="1"/>
        <v>2020</v>
      </c>
      <c r="C42" s="28"/>
      <c r="D42" s="365">
        <v>0.42</v>
      </c>
      <c r="E42" s="367"/>
      <c r="F42" s="365">
        <v>0</v>
      </c>
      <c r="G42" s="367"/>
      <c r="H42" s="365">
        <v>2.54</v>
      </c>
      <c r="I42" s="120"/>
      <c r="J42" s="35">
        <f t="shared" si="2"/>
        <v>2.9706680000000096</v>
      </c>
      <c r="K42" s="28"/>
      <c r="L42" s="21">
        <f t="shared" si="3"/>
        <v>1.1700635869401255</v>
      </c>
      <c r="M42" s="28"/>
      <c r="N42" s="281"/>
      <c r="O42" s="281"/>
      <c r="P42" s="281"/>
      <c r="Q42" s="160"/>
    </row>
    <row r="43" spans="1:17">
      <c r="A43" s="28"/>
      <c r="B43" s="28">
        <f t="shared" si="1"/>
        <v>2021</v>
      </c>
      <c r="C43" s="28"/>
      <c r="D43" s="365">
        <v>0.5</v>
      </c>
      <c r="E43" s="367"/>
      <c r="F43" s="365">
        <v>0</v>
      </c>
      <c r="G43" s="367"/>
      <c r="H43" s="365">
        <v>3.3000000000000003</v>
      </c>
      <c r="I43" s="120"/>
      <c r="J43" s="35">
        <f t="shared" si="2"/>
        <v>3.8164999999999782</v>
      </c>
      <c r="K43" s="28"/>
      <c r="L43" s="21">
        <f t="shared" si="3"/>
        <v>1.1270497338478236</v>
      </c>
      <c r="M43" s="28"/>
      <c r="N43" s="281"/>
      <c r="O43" s="281"/>
      <c r="P43" s="281"/>
      <c r="Q43" s="281"/>
    </row>
    <row r="44" spans="1:17" s="199" customFormat="1">
      <c r="A44" s="28"/>
      <c r="B44" s="28">
        <f t="shared" si="1"/>
        <v>2022</v>
      </c>
      <c r="C44" s="28"/>
      <c r="D44" s="365">
        <v>1.23</v>
      </c>
      <c r="E44" s="367"/>
      <c r="F44" s="365">
        <v>0</v>
      </c>
      <c r="G44" s="367"/>
      <c r="H44" s="365">
        <v>2.1</v>
      </c>
      <c r="I44" s="120"/>
      <c r="J44" s="35">
        <f t="shared" si="2"/>
        <v>3.355829999999993</v>
      </c>
      <c r="K44" s="28"/>
      <c r="L44" s="21">
        <f t="shared" si="3"/>
        <v>1.0904558880208535</v>
      </c>
      <c r="M44" s="28"/>
      <c r="N44" s="318"/>
      <c r="O44" s="318"/>
      <c r="P44" s="318"/>
      <c r="Q44" s="318"/>
    </row>
    <row r="45" spans="1:17" s="147" customFormat="1">
      <c r="A45" s="28"/>
      <c r="B45" s="28">
        <f t="shared" si="1"/>
        <v>2023</v>
      </c>
      <c r="C45" s="28"/>
      <c r="D45" s="365">
        <v>0.47</v>
      </c>
      <c r="E45" s="367"/>
      <c r="F45" s="365">
        <v>0</v>
      </c>
      <c r="G45" s="367"/>
      <c r="H45" s="365">
        <v>2</v>
      </c>
      <c r="I45" s="120"/>
      <c r="J45" s="35">
        <f t="shared" si="2"/>
        <v>2.4793999999999983</v>
      </c>
      <c r="K45" s="28"/>
      <c r="L45" s="21">
        <f t="shared" si="3"/>
        <v>1.0640732557185673</v>
      </c>
      <c r="M45" s="28"/>
      <c r="N45" s="281"/>
      <c r="O45" s="281"/>
      <c r="P45" s="281"/>
      <c r="Q45" s="281"/>
    </row>
    <row r="46" spans="1:17" s="199" customFormat="1">
      <c r="A46" s="28"/>
      <c r="B46" s="28">
        <f t="shared" si="1"/>
        <v>2024</v>
      </c>
      <c r="C46" s="28"/>
      <c r="D46" s="365">
        <v>0</v>
      </c>
      <c r="E46" s="367"/>
      <c r="F46" s="365">
        <v>0</v>
      </c>
      <c r="G46" s="367"/>
      <c r="H46" s="365">
        <v>3.2</v>
      </c>
      <c r="I46" s="120"/>
      <c r="J46" s="35">
        <f t="shared" si="2"/>
        <v>3.2000000000000028</v>
      </c>
      <c r="K46" s="28"/>
      <c r="L46" s="21">
        <f t="shared" si="3"/>
        <v>1.0310787361614024</v>
      </c>
      <c r="M46" s="28"/>
      <c r="N46" s="323"/>
      <c r="O46" s="323"/>
      <c r="P46" s="323"/>
      <c r="Q46" s="323"/>
    </row>
    <row r="47" spans="1:17" s="179" customFormat="1">
      <c r="A47" s="28"/>
      <c r="B47" s="28">
        <f t="shared" si="1"/>
        <v>2025</v>
      </c>
      <c r="C47" s="28"/>
      <c r="D47" s="365">
        <v>0.34</v>
      </c>
      <c r="E47" s="367"/>
      <c r="F47" s="365">
        <v>0</v>
      </c>
      <c r="G47" s="367"/>
      <c r="H47" s="365">
        <v>2.2999999999999998</v>
      </c>
      <c r="I47" s="367"/>
      <c r="J47" s="35">
        <f t="shared" si="2"/>
        <v>2.6478199999999896</v>
      </c>
      <c r="K47" s="28"/>
      <c r="L47" s="304">
        <f>(1+J48/100)</f>
        <v>1.004481864457913</v>
      </c>
      <c r="M47" s="28"/>
      <c r="N47" s="281"/>
      <c r="O47" s="281"/>
      <c r="P47" s="281"/>
      <c r="Q47" s="281"/>
    </row>
    <row r="48" spans="1:17" s="110" customFormat="1">
      <c r="A48" s="28"/>
      <c r="B48" s="250" t="s">
        <v>352</v>
      </c>
      <c r="C48" s="28"/>
      <c r="D48" s="365">
        <v>6.8216888864269798E-2</v>
      </c>
      <c r="E48" s="367" t="s">
        <v>469</v>
      </c>
      <c r="F48" s="365">
        <v>0</v>
      </c>
      <c r="G48" s="367"/>
      <c r="H48" s="365">
        <v>0.37971053021661483</v>
      </c>
      <c r="I48" s="367" t="s">
        <v>470</v>
      </c>
      <c r="J48" s="35">
        <f t="shared" si="2"/>
        <v>0.44818644579129874</v>
      </c>
      <c r="K48" s="28"/>
      <c r="L48" s="23"/>
      <c r="M48" s="28"/>
      <c r="N48" s="281"/>
      <c r="O48" s="281"/>
      <c r="P48" s="281"/>
      <c r="Q48" s="281"/>
    </row>
    <row r="49" spans="1:17">
      <c r="A49" s="28"/>
      <c r="B49" s="28"/>
      <c r="C49" s="28"/>
      <c r="D49" s="173"/>
      <c r="E49" s="28"/>
      <c r="F49" s="28"/>
      <c r="G49" s="28"/>
      <c r="H49" s="28"/>
      <c r="I49" s="28"/>
      <c r="J49" s="28"/>
      <c r="K49" s="28"/>
      <c r="L49" s="28"/>
      <c r="M49" s="279"/>
      <c r="N49" s="281"/>
      <c r="O49" s="281"/>
      <c r="P49" s="281"/>
      <c r="Q49" s="281"/>
    </row>
    <row r="50" spans="1:17" ht="54" customHeight="1">
      <c r="A50" s="28"/>
      <c r="B50" s="31" t="s">
        <v>22</v>
      </c>
      <c r="C50" s="436" t="s">
        <v>238</v>
      </c>
      <c r="D50" s="436"/>
      <c r="E50" s="436"/>
      <c r="F50" s="436"/>
      <c r="G50" s="436"/>
      <c r="H50" s="436"/>
      <c r="I50" s="436"/>
      <c r="J50" s="436"/>
      <c r="K50" s="436"/>
      <c r="L50" s="436"/>
      <c r="M50" s="279"/>
      <c r="N50" s="281"/>
      <c r="O50" s="281"/>
      <c r="P50" s="281"/>
      <c r="Q50" s="281"/>
    </row>
    <row r="51" spans="1:17" ht="26.1" customHeight="1">
      <c r="A51" s="28"/>
      <c r="B51" s="31" t="s">
        <v>26</v>
      </c>
      <c r="C51" s="436" t="s">
        <v>347</v>
      </c>
      <c r="D51" s="436"/>
      <c r="E51" s="436"/>
      <c r="F51" s="436"/>
      <c r="G51" s="436"/>
      <c r="H51" s="436"/>
      <c r="I51" s="436"/>
      <c r="J51" s="436"/>
      <c r="K51" s="436"/>
      <c r="L51" s="436"/>
      <c r="M51" s="279"/>
      <c r="N51" s="281"/>
      <c r="O51" s="281"/>
      <c r="P51" s="281"/>
      <c r="Q51" s="281"/>
    </row>
    <row r="52" spans="1:17" ht="14.45" customHeight="1">
      <c r="A52" s="28"/>
      <c r="B52" s="31" t="s">
        <v>34</v>
      </c>
      <c r="C52" s="436" t="s">
        <v>69</v>
      </c>
      <c r="D52" s="436"/>
      <c r="E52" s="436"/>
      <c r="F52" s="436"/>
      <c r="G52" s="436"/>
      <c r="H52" s="436"/>
      <c r="I52" s="436"/>
      <c r="J52" s="436"/>
      <c r="K52" s="436"/>
      <c r="L52" s="436"/>
      <c r="M52" s="28"/>
      <c r="N52" s="281"/>
      <c r="O52" s="281"/>
      <c r="P52" s="281"/>
      <c r="Q52" s="281"/>
    </row>
    <row r="53" spans="1:17" ht="39.950000000000003" customHeight="1">
      <c r="A53" s="28"/>
      <c r="B53" s="31" t="s">
        <v>49</v>
      </c>
      <c r="C53" s="436" t="s">
        <v>471</v>
      </c>
      <c r="D53" s="436"/>
      <c r="E53" s="436"/>
      <c r="F53" s="436"/>
      <c r="G53" s="436"/>
      <c r="H53" s="436"/>
      <c r="I53" s="436"/>
      <c r="J53" s="436"/>
      <c r="K53" s="436"/>
      <c r="L53" s="436"/>
      <c r="M53" s="104"/>
      <c r="N53" s="281"/>
      <c r="O53" s="281"/>
      <c r="P53" s="281"/>
      <c r="Q53" s="281"/>
    </row>
    <row r="54" spans="1:17" ht="53.25" customHeight="1">
      <c r="A54" s="28"/>
      <c r="B54" s="31" t="s">
        <v>36</v>
      </c>
      <c r="C54" s="436" t="s">
        <v>70</v>
      </c>
      <c r="D54" s="436"/>
      <c r="E54" s="436"/>
      <c r="F54" s="436"/>
      <c r="G54" s="436"/>
      <c r="H54" s="436"/>
      <c r="I54" s="436"/>
      <c r="J54" s="436"/>
      <c r="K54" s="436"/>
      <c r="L54" s="436"/>
      <c r="M54" s="279"/>
      <c r="N54" s="281"/>
      <c r="O54" s="281"/>
      <c r="P54" s="281"/>
      <c r="Q54" s="281"/>
    </row>
  </sheetData>
  <mergeCells count="6">
    <mergeCell ref="C53:L53"/>
    <mergeCell ref="C54:L54"/>
    <mergeCell ref="A1:M1"/>
    <mergeCell ref="C50:L50"/>
    <mergeCell ref="C51:L51"/>
    <mergeCell ref="C52:L52"/>
  </mergeCells>
  <pageMargins left="0.5" right="0.5" top="0.75" bottom="0.75" header="0.33" footer="0.33"/>
  <pageSetup scale="85" orientation="portrait" blackAndWhite="1" horizontalDpi="1200" verticalDpi="1200" r:id="rId1"/>
  <headerFooter scaleWithDoc="0">
    <oddHeader>&amp;R&amp;"Arial,Regular"&amp;10Exhibit 4.1</oddHeader>
  </headerFooter>
  <ignoredErrors>
    <ignoredError sqref="D2:I2 D3:I3 K3 K2:L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36"/>
  <sheetViews>
    <sheetView zoomScaleNormal="100" zoomScaleSheetLayoutView="100" workbookViewId="0"/>
  </sheetViews>
  <sheetFormatPr defaultColWidth="9.140625" defaultRowHeight="12.75"/>
  <cols>
    <col min="1" max="1" width="14" style="53" customWidth="1"/>
    <col min="2" max="17" width="7.85546875" style="53" customWidth="1"/>
    <col min="18" max="16384" width="9.140625" style="53"/>
  </cols>
  <sheetData>
    <row r="1" spans="1:17" ht="13.35" customHeight="1">
      <c r="A1" s="112" t="s">
        <v>17</v>
      </c>
      <c r="B1" s="112"/>
      <c r="C1" s="112"/>
      <c r="D1" s="112"/>
      <c r="E1" s="112"/>
      <c r="F1" s="112"/>
      <c r="G1" s="112"/>
      <c r="H1" s="112"/>
      <c r="I1" s="112"/>
      <c r="J1" s="112"/>
      <c r="K1" s="112"/>
      <c r="L1" s="112"/>
      <c r="M1" s="112"/>
      <c r="N1" s="112"/>
      <c r="O1" s="112"/>
      <c r="P1" s="112"/>
      <c r="Q1" s="112"/>
    </row>
    <row r="2" spans="1:17" ht="13.35" customHeight="1">
      <c r="A2" s="58"/>
      <c r="B2" s="58"/>
      <c r="C2" s="58"/>
      <c r="D2" s="58"/>
      <c r="E2" s="58"/>
      <c r="F2" s="58"/>
      <c r="G2" s="58"/>
      <c r="H2" s="58"/>
      <c r="I2" s="58"/>
      <c r="J2" s="58"/>
      <c r="K2" s="58"/>
      <c r="L2" s="58"/>
      <c r="M2" s="58"/>
      <c r="N2" s="58"/>
      <c r="O2" s="58"/>
      <c r="P2" s="60"/>
    </row>
    <row r="3" spans="1:17" ht="13.35" customHeight="1">
      <c r="A3" s="60"/>
      <c r="B3" s="113" t="s">
        <v>18</v>
      </c>
      <c r="C3" s="113"/>
      <c r="D3" s="113"/>
      <c r="E3" s="113"/>
      <c r="F3" s="113"/>
      <c r="G3" s="113"/>
      <c r="H3" s="113"/>
      <c r="I3" s="113"/>
      <c r="J3" s="113"/>
      <c r="K3" s="113"/>
      <c r="L3" s="113"/>
      <c r="M3" s="113"/>
      <c r="N3" s="113"/>
      <c r="O3" s="113"/>
      <c r="P3" s="113"/>
      <c r="Q3" s="113"/>
    </row>
    <row r="4" spans="1:17" ht="13.35" customHeight="1">
      <c r="A4" s="6" t="s">
        <v>19</v>
      </c>
      <c r="B4" s="6" t="s">
        <v>422</v>
      </c>
      <c r="C4" s="6" t="s">
        <v>423</v>
      </c>
      <c r="D4" s="6" t="s">
        <v>424</v>
      </c>
      <c r="E4" s="6" t="s">
        <v>425</v>
      </c>
      <c r="F4" s="6" t="s">
        <v>426</v>
      </c>
      <c r="G4" s="6" t="s">
        <v>427</v>
      </c>
      <c r="H4" s="6" t="s">
        <v>428</v>
      </c>
      <c r="I4" s="6" t="s">
        <v>429</v>
      </c>
      <c r="J4" s="6" t="s">
        <v>430</v>
      </c>
      <c r="K4" s="6" t="s">
        <v>431</v>
      </c>
      <c r="L4" s="6" t="s">
        <v>432</v>
      </c>
      <c r="M4" s="6" t="s">
        <v>433</v>
      </c>
      <c r="N4" s="6" t="s">
        <v>434</v>
      </c>
      <c r="O4" s="6" t="s">
        <v>435</v>
      </c>
      <c r="P4" s="6" t="s">
        <v>436</v>
      </c>
      <c r="Q4" s="6" t="s">
        <v>437</v>
      </c>
    </row>
    <row r="5" spans="1:17" ht="13.35" customHeight="1">
      <c r="A5" s="7">
        <f t="shared" ref="A5:A30" si="0">+A6-1</f>
        <v>1996</v>
      </c>
      <c r="B5" s="350" t="s">
        <v>31</v>
      </c>
      <c r="C5" s="350" t="s">
        <v>31</v>
      </c>
      <c r="D5" s="350" t="s">
        <v>31</v>
      </c>
      <c r="E5" s="350" t="s">
        <v>31</v>
      </c>
      <c r="F5" s="350" t="s">
        <v>31</v>
      </c>
      <c r="G5" s="350" t="s">
        <v>31</v>
      </c>
      <c r="H5" s="350" t="s">
        <v>31</v>
      </c>
      <c r="I5" s="350" t="s">
        <v>31</v>
      </c>
      <c r="J5" s="350" t="s">
        <v>31</v>
      </c>
      <c r="K5" s="350" t="s">
        <v>31</v>
      </c>
      <c r="L5" s="350" t="s">
        <v>31</v>
      </c>
      <c r="M5" s="350" t="s">
        <v>31</v>
      </c>
      <c r="N5" s="350" t="s">
        <v>31</v>
      </c>
      <c r="O5" s="350">
        <v>1</v>
      </c>
      <c r="P5" s="350">
        <v>1.0009999999999999</v>
      </c>
      <c r="Q5" s="350">
        <v>1.002</v>
      </c>
    </row>
    <row r="6" spans="1:17" ht="13.35" customHeight="1">
      <c r="A6" s="7">
        <f t="shared" si="0"/>
        <v>1997</v>
      </c>
      <c r="B6" s="350" t="s">
        <v>31</v>
      </c>
      <c r="C6" s="350" t="s">
        <v>31</v>
      </c>
      <c r="D6" s="350" t="s">
        <v>31</v>
      </c>
      <c r="E6" s="350" t="s">
        <v>31</v>
      </c>
      <c r="F6" s="350" t="s">
        <v>31</v>
      </c>
      <c r="G6" s="350" t="s">
        <v>31</v>
      </c>
      <c r="H6" s="350" t="s">
        <v>31</v>
      </c>
      <c r="I6" s="350" t="s">
        <v>31</v>
      </c>
      <c r="J6" s="350" t="s">
        <v>31</v>
      </c>
      <c r="K6" s="350" t="s">
        <v>31</v>
      </c>
      <c r="L6" s="350" t="s">
        <v>31</v>
      </c>
      <c r="M6" s="350" t="s">
        <v>31</v>
      </c>
      <c r="N6" s="350">
        <v>1.0029999999999999</v>
      </c>
      <c r="O6" s="350">
        <v>1.002</v>
      </c>
      <c r="P6" s="350">
        <v>1.0009999999999999</v>
      </c>
      <c r="Q6" s="350">
        <v>1.0009999999999999</v>
      </c>
    </row>
    <row r="7" spans="1:17" ht="13.35" customHeight="1">
      <c r="A7" s="7">
        <f t="shared" si="0"/>
        <v>1998</v>
      </c>
      <c r="B7" s="350" t="s">
        <v>31</v>
      </c>
      <c r="C7" s="350" t="s">
        <v>31</v>
      </c>
      <c r="D7" s="350" t="s">
        <v>31</v>
      </c>
      <c r="E7" s="350" t="s">
        <v>31</v>
      </c>
      <c r="F7" s="350" t="s">
        <v>31</v>
      </c>
      <c r="G7" s="350" t="s">
        <v>31</v>
      </c>
      <c r="H7" s="350" t="s">
        <v>31</v>
      </c>
      <c r="I7" s="350" t="s">
        <v>31</v>
      </c>
      <c r="J7" s="350" t="s">
        <v>31</v>
      </c>
      <c r="K7" s="350" t="s">
        <v>31</v>
      </c>
      <c r="L7" s="350" t="s">
        <v>31</v>
      </c>
      <c r="M7" s="350">
        <v>1.0029999999999999</v>
      </c>
      <c r="N7" s="350">
        <v>1.004</v>
      </c>
      <c r="O7" s="350">
        <v>1.0009999999999999</v>
      </c>
      <c r="P7" s="350">
        <v>1.002</v>
      </c>
      <c r="Q7" s="350">
        <v>1.0009999999999999</v>
      </c>
    </row>
    <row r="8" spans="1:17" ht="13.35" customHeight="1">
      <c r="A8" s="7">
        <f t="shared" si="0"/>
        <v>1999</v>
      </c>
      <c r="B8" s="350" t="s">
        <v>31</v>
      </c>
      <c r="C8" s="350" t="s">
        <v>31</v>
      </c>
      <c r="D8" s="350" t="s">
        <v>31</v>
      </c>
      <c r="E8" s="350" t="s">
        <v>31</v>
      </c>
      <c r="F8" s="350" t="s">
        <v>31</v>
      </c>
      <c r="G8" s="350" t="s">
        <v>31</v>
      </c>
      <c r="H8" s="350" t="s">
        <v>31</v>
      </c>
      <c r="I8" s="350" t="s">
        <v>31</v>
      </c>
      <c r="J8" s="350" t="s">
        <v>31</v>
      </c>
      <c r="K8" s="350" t="s">
        <v>31</v>
      </c>
      <c r="L8" s="350">
        <v>1.002</v>
      </c>
      <c r="M8" s="350">
        <v>1.0029999999999999</v>
      </c>
      <c r="N8" s="350">
        <v>1.0029999999999999</v>
      </c>
      <c r="O8" s="350">
        <v>1.002</v>
      </c>
      <c r="P8" s="350">
        <v>1.002</v>
      </c>
      <c r="Q8" s="350">
        <v>1.0009999999999999</v>
      </c>
    </row>
    <row r="9" spans="1:17" ht="13.35" customHeight="1">
      <c r="A9" s="7">
        <f t="shared" si="0"/>
        <v>2000</v>
      </c>
      <c r="B9" s="350" t="s">
        <v>31</v>
      </c>
      <c r="C9" s="350" t="s">
        <v>31</v>
      </c>
      <c r="D9" s="350" t="s">
        <v>31</v>
      </c>
      <c r="E9" s="350" t="s">
        <v>31</v>
      </c>
      <c r="F9" s="350" t="s">
        <v>31</v>
      </c>
      <c r="G9" s="350" t="s">
        <v>31</v>
      </c>
      <c r="H9" s="350" t="s">
        <v>31</v>
      </c>
      <c r="I9" s="350" t="s">
        <v>31</v>
      </c>
      <c r="J9" s="350" t="s">
        <v>31</v>
      </c>
      <c r="K9" s="350">
        <v>1.004</v>
      </c>
      <c r="L9" s="350">
        <v>1.0049999999999999</v>
      </c>
      <c r="M9" s="350">
        <v>1.0029999999999999</v>
      </c>
      <c r="N9" s="350">
        <v>1.0009999999999999</v>
      </c>
      <c r="O9" s="350">
        <v>1.004</v>
      </c>
      <c r="P9" s="350">
        <v>1.002</v>
      </c>
      <c r="Q9" s="350">
        <v>1</v>
      </c>
    </row>
    <row r="10" spans="1:17" ht="13.35" customHeight="1">
      <c r="A10" s="7">
        <f t="shared" si="0"/>
        <v>2001</v>
      </c>
      <c r="B10" s="350" t="s">
        <v>31</v>
      </c>
      <c r="C10" s="350" t="s">
        <v>31</v>
      </c>
      <c r="D10" s="350" t="s">
        <v>31</v>
      </c>
      <c r="E10" s="350" t="s">
        <v>31</v>
      </c>
      <c r="F10" s="350" t="s">
        <v>31</v>
      </c>
      <c r="G10" s="350" t="s">
        <v>31</v>
      </c>
      <c r="H10" s="350" t="s">
        <v>31</v>
      </c>
      <c r="I10" s="350" t="s">
        <v>31</v>
      </c>
      <c r="J10" s="350">
        <v>1.006</v>
      </c>
      <c r="K10" s="350">
        <v>1.0069999999999999</v>
      </c>
      <c r="L10" s="350">
        <v>1.006</v>
      </c>
      <c r="M10" s="350">
        <v>1.0049999999999999</v>
      </c>
      <c r="N10" s="350">
        <v>1.0029999999999999</v>
      </c>
      <c r="O10" s="350">
        <v>1.002</v>
      </c>
      <c r="P10" s="350">
        <v>1.0009999999999999</v>
      </c>
      <c r="Q10" s="350">
        <v>1.0009999999999999</v>
      </c>
    </row>
    <row r="11" spans="1:17" ht="13.35" customHeight="1">
      <c r="A11" s="7">
        <f t="shared" si="0"/>
        <v>2002</v>
      </c>
      <c r="B11" s="350" t="s">
        <v>31</v>
      </c>
      <c r="C11" s="350" t="s">
        <v>31</v>
      </c>
      <c r="D11" s="350" t="s">
        <v>31</v>
      </c>
      <c r="E11" s="350" t="s">
        <v>31</v>
      </c>
      <c r="F11" s="350" t="s">
        <v>31</v>
      </c>
      <c r="G11" s="350" t="s">
        <v>31</v>
      </c>
      <c r="H11" s="350" t="s">
        <v>31</v>
      </c>
      <c r="I11" s="350">
        <v>1.01</v>
      </c>
      <c r="J11" s="350">
        <v>1.01</v>
      </c>
      <c r="K11" s="350">
        <v>1.0069999999999999</v>
      </c>
      <c r="L11" s="350">
        <v>1.0049999999999999</v>
      </c>
      <c r="M11" s="350">
        <v>1.0029999999999999</v>
      </c>
      <c r="N11" s="350">
        <v>1.002</v>
      </c>
      <c r="O11" s="350">
        <v>1.002</v>
      </c>
      <c r="P11" s="350">
        <v>1.0029999999999999</v>
      </c>
      <c r="Q11" s="350">
        <v>1.002</v>
      </c>
    </row>
    <row r="12" spans="1:17" ht="13.35" customHeight="1">
      <c r="A12" s="7">
        <f t="shared" si="0"/>
        <v>2003</v>
      </c>
      <c r="B12" s="350" t="s">
        <v>31</v>
      </c>
      <c r="C12" s="350" t="s">
        <v>31</v>
      </c>
      <c r="D12" s="350" t="s">
        <v>31</v>
      </c>
      <c r="E12" s="350" t="s">
        <v>31</v>
      </c>
      <c r="F12" s="350" t="s">
        <v>31</v>
      </c>
      <c r="G12" s="350" t="s">
        <v>31</v>
      </c>
      <c r="H12" s="350">
        <v>1.018</v>
      </c>
      <c r="I12" s="350">
        <v>1.0149999999999999</v>
      </c>
      <c r="J12" s="350">
        <v>1.0149999999999999</v>
      </c>
      <c r="K12" s="350">
        <v>1.0089999999999999</v>
      </c>
      <c r="L12" s="350">
        <v>1.006</v>
      </c>
      <c r="M12" s="350">
        <v>1.004</v>
      </c>
      <c r="N12" s="350">
        <v>1.0029999999999999</v>
      </c>
      <c r="O12" s="350">
        <v>1.002</v>
      </c>
      <c r="P12" s="350">
        <v>1.002</v>
      </c>
      <c r="Q12" s="350">
        <v>1.004</v>
      </c>
    </row>
    <row r="13" spans="1:17" ht="13.35" customHeight="1">
      <c r="A13" s="7">
        <f t="shared" si="0"/>
        <v>2004</v>
      </c>
      <c r="B13" s="350" t="s">
        <v>31</v>
      </c>
      <c r="C13" s="350" t="s">
        <v>31</v>
      </c>
      <c r="D13" s="350" t="s">
        <v>31</v>
      </c>
      <c r="E13" s="350" t="s">
        <v>31</v>
      </c>
      <c r="F13" s="350" t="s">
        <v>31</v>
      </c>
      <c r="G13" s="350">
        <v>1.026</v>
      </c>
      <c r="H13" s="350">
        <v>1.028</v>
      </c>
      <c r="I13" s="350">
        <v>1.018</v>
      </c>
      <c r="J13" s="350">
        <v>1.014</v>
      </c>
      <c r="K13" s="350">
        <v>1.0069999999999999</v>
      </c>
      <c r="L13" s="350">
        <v>1.0069999999999999</v>
      </c>
      <c r="M13" s="350">
        <v>1.0029999999999999</v>
      </c>
      <c r="N13" s="350">
        <v>1.0009999999999999</v>
      </c>
      <c r="O13" s="350">
        <v>1.002</v>
      </c>
      <c r="P13" s="350">
        <v>1.006</v>
      </c>
      <c r="Q13" s="350">
        <v>1.0009999999999999</v>
      </c>
    </row>
    <row r="14" spans="1:17" ht="13.35" customHeight="1">
      <c r="A14" s="7">
        <f t="shared" si="0"/>
        <v>2005</v>
      </c>
      <c r="B14" s="350" t="s">
        <v>31</v>
      </c>
      <c r="C14" s="350" t="s">
        <v>31</v>
      </c>
      <c r="D14" s="350" t="s">
        <v>31</v>
      </c>
      <c r="E14" s="350" t="s">
        <v>31</v>
      </c>
      <c r="F14" s="350">
        <v>1.0529999999999999</v>
      </c>
      <c r="G14" s="350">
        <v>1.04</v>
      </c>
      <c r="H14" s="350">
        <v>1.028</v>
      </c>
      <c r="I14" s="350">
        <v>1.016</v>
      </c>
      <c r="J14" s="350">
        <v>1.012</v>
      </c>
      <c r="K14" s="350">
        <v>1.006</v>
      </c>
      <c r="L14" s="350">
        <v>1.0049999999999999</v>
      </c>
      <c r="M14" s="350">
        <v>1.006</v>
      </c>
      <c r="N14" s="350">
        <v>1.0029999999999999</v>
      </c>
      <c r="O14" s="350">
        <v>1.004</v>
      </c>
      <c r="P14" s="350">
        <v>1.004</v>
      </c>
      <c r="Q14" s="350">
        <v>1.002</v>
      </c>
    </row>
    <row r="15" spans="1:17" ht="13.35" customHeight="1">
      <c r="A15" s="7">
        <f t="shared" si="0"/>
        <v>2006</v>
      </c>
      <c r="B15" s="350" t="s">
        <v>31</v>
      </c>
      <c r="C15" s="350" t="s">
        <v>31</v>
      </c>
      <c r="D15" s="350" t="s">
        <v>31</v>
      </c>
      <c r="E15" s="350">
        <v>1.08</v>
      </c>
      <c r="F15" s="350">
        <v>1.0529999999999999</v>
      </c>
      <c r="G15" s="350">
        <v>1.0349999999999999</v>
      </c>
      <c r="H15" s="350">
        <v>1.0229999999999999</v>
      </c>
      <c r="I15" s="350">
        <v>1.0149999999999999</v>
      </c>
      <c r="J15" s="350">
        <v>1.0089999999999999</v>
      </c>
      <c r="K15" s="350">
        <v>1.0069999999999999</v>
      </c>
      <c r="L15" s="350">
        <v>1.004</v>
      </c>
      <c r="M15" s="350">
        <v>1.0049999999999999</v>
      </c>
      <c r="N15" s="350">
        <v>1.002</v>
      </c>
      <c r="O15" s="350">
        <v>1.0049999999999999</v>
      </c>
      <c r="P15" s="350">
        <v>1.0009999999999999</v>
      </c>
      <c r="Q15" s="350">
        <v>1.0029999999999999</v>
      </c>
    </row>
    <row r="16" spans="1:17" ht="13.35" customHeight="1">
      <c r="A16" s="7">
        <f t="shared" si="0"/>
        <v>2007</v>
      </c>
      <c r="B16" s="350" t="s">
        <v>31</v>
      </c>
      <c r="C16" s="350" t="s">
        <v>31</v>
      </c>
      <c r="D16" s="350">
        <v>1.1200000000000001</v>
      </c>
      <c r="E16" s="350">
        <v>1.07</v>
      </c>
      <c r="F16" s="350">
        <v>1.0489999999999999</v>
      </c>
      <c r="G16" s="350">
        <v>1.0369999999999999</v>
      </c>
      <c r="H16" s="350">
        <v>1.022</v>
      </c>
      <c r="I16" s="350">
        <v>1.012</v>
      </c>
      <c r="J16" s="350">
        <v>1.0109999999999999</v>
      </c>
      <c r="K16" s="350">
        <v>1.0049999999999999</v>
      </c>
      <c r="L16" s="350">
        <v>1.0069999999999999</v>
      </c>
      <c r="M16" s="350">
        <v>1.01</v>
      </c>
      <c r="N16" s="350">
        <v>1.0009999999999999</v>
      </c>
      <c r="O16" s="350">
        <v>1.0029999999999999</v>
      </c>
      <c r="P16" s="350">
        <v>1.0029999999999999</v>
      </c>
      <c r="Q16" s="350">
        <v>1.0009999999999999</v>
      </c>
    </row>
    <row r="17" spans="1:17" ht="13.35" customHeight="1">
      <c r="A17" s="7">
        <f t="shared" si="0"/>
        <v>2008</v>
      </c>
      <c r="B17" s="350" t="s">
        <v>31</v>
      </c>
      <c r="C17" s="350">
        <v>1.302</v>
      </c>
      <c r="D17" s="350">
        <v>1.1359999999999999</v>
      </c>
      <c r="E17" s="350">
        <v>1.0740000000000001</v>
      </c>
      <c r="F17" s="350">
        <v>1.0449999999999999</v>
      </c>
      <c r="G17" s="350">
        <v>1.03</v>
      </c>
      <c r="H17" s="350">
        <v>1.0189999999999999</v>
      </c>
      <c r="I17" s="350">
        <v>1.012</v>
      </c>
      <c r="J17" s="350">
        <v>1.0089999999999999</v>
      </c>
      <c r="K17" s="350">
        <v>1.006</v>
      </c>
      <c r="L17" s="350">
        <v>1.0069999999999999</v>
      </c>
      <c r="M17" s="350">
        <v>1.006</v>
      </c>
      <c r="N17" s="350">
        <v>1.0049999999999999</v>
      </c>
      <c r="O17" s="350">
        <v>1.002</v>
      </c>
      <c r="P17" s="350">
        <v>1.0029999999999999</v>
      </c>
      <c r="Q17" s="350" t="s">
        <v>31</v>
      </c>
    </row>
    <row r="18" spans="1:17" ht="13.35" customHeight="1">
      <c r="A18" s="7">
        <f t="shared" si="0"/>
        <v>2009</v>
      </c>
      <c r="B18" s="350">
        <v>1.9830000000000001</v>
      </c>
      <c r="C18" s="350">
        <v>1.2929999999999999</v>
      </c>
      <c r="D18" s="350">
        <v>1.1419999999999999</v>
      </c>
      <c r="E18" s="350">
        <v>1.0760000000000001</v>
      </c>
      <c r="F18" s="350">
        <v>1.048</v>
      </c>
      <c r="G18" s="350">
        <v>1.024</v>
      </c>
      <c r="H18" s="350">
        <v>1.0189999999999999</v>
      </c>
      <c r="I18" s="350">
        <v>1.014</v>
      </c>
      <c r="J18" s="350">
        <v>1.0089999999999999</v>
      </c>
      <c r="K18" s="350">
        <v>1.01</v>
      </c>
      <c r="L18" s="350">
        <v>1.0049999999999999</v>
      </c>
      <c r="M18" s="350">
        <v>1.008</v>
      </c>
      <c r="N18" s="350">
        <v>1.0069999999999999</v>
      </c>
      <c r="O18" s="350">
        <v>1.0009999999999999</v>
      </c>
      <c r="P18" s="350" t="s">
        <v>31</v>
      </c>
      <c r="Q18" s="350" t="s">
        <v>31</v>
      </c>
    </row>
    <row r="19" spans="1:17" ht="13.35" customHeight="1">
      <c r="A19" s="7">
        <f t="shared" si="0"/>
        <v>2010</v>
      </c>
      <c r="B19" s="350">
        <v>1.994</v>
      </c>
      <c r="C19" s="350">
        <v>1.3149999999999999</v>
      </c>
      <c r="D19" s="350">
        <v>1.131</v>
      </c>
      <c r="E19" s="350">
        <v>1.069</v>
      </c>
      <c r="F19" s="350">
        <v>1.0449999999999999</v>
      </c>
      <c r="G19" s="350">
        <v>1.026</v>
      </c>
      <c r="H19" s="350">
        <v>1.016</v>
      </c>
      <c r="I19" s="350">
        <v>1.012</v>
      </c>
      <c r="J19" s="350">
        <v>1.012</v>
      </c>
      <c r="K19" s="350">
        <v>1.006</v>
      </c>
      <c r="L19" s="350">
        <v>1.004</v>
      </c>
      <c r="M19" s="350">
        <v>1.004</v>
      </c>
      <c r="N19" s="350">
        <v>1.004</v>
      </c>
      <c r="O19" s="350" t="s">
        <v>31</v>
      </c>
      <c r="P19" s="350" t="s">
        <v>31</v>
      </c>
      <c r="Q19" s="350" t="s">
        <v>31</v>
      </c>
    </row>
    <row r="20" spans="1:17" ht="13.35" customHeight="1">
      <c r="A20" s="7">
        <f t="shared" si="0"/>
        <v>2011</v>
      </c>
      <c r="B20" s="350">
        <v>1.9970000000000001</v>
      </c>
      <c r="C20" s="350">
        <v>1.2769999999999999</v>
      </c>
      <c r="D20" s="350">
        <v>1.133</v>
      </c>
      <c r="E20" s="350">
        <v>1.0609999999999999</v>
      </c>
      <c r="F20" s="350">
        <v>1.0369999999999999</v>
      </c>
      <c r="G20" s="350">
        <v>1.022</v>
      </c>
      <c r="H20" s="350">
        <v>1.0189999999999999</v>
      </c>
      <c r="I20" s="350">
        <v>1.0109999999999999</v>
      </c>
      <c r="J20" s="350">
        <v>1.008</v>
      </c>
      <c r="K20" s="350">
        <v>1.0069999999999999</v>
      </c>
      <c r="L20" s="350">
        <v>1.004</v>
      </c>
      <c r="M20" s="350">
        <v>1.0049999999999999</v>
      </c>
      <c r="N20" s="350" t="s">
        <v>31</v>
      </c>
      <c r="O20" s="350" t="s">
        <v>31</v>
      </c>
      <c r="P20" s="350" t="s">
        <v>31</v>
      </c>
      <c r="Q20" s="350" t="s">
        <v>31</v>
      </c>
    </row>
    <row r="21" spans="1:17" ht="13.35" customHeight="1">
      <c r="A21" s="7">
        <f t="shared" si="0"/>
        <v>2012</v>
      </c>
      <c r="B21" s="350">
        <v>1.992</v>
      </c>
      <c r="C21" s="350">
        <v>1.2789999999999999</v>
      </c>
      <c r="D21" s="350">
        <v>1.113</v>
      </c>
      <c r="E21" s="350">
        <v>1.0629999999999999</v>
      </c>
      <c r="F21" s="350">
        <v>1.0409999999999999</v>
      </c>
      <c r="G21" s="350">
        <v>1.0229999999999999</v>
      </c>
      <c r="H21" s="350">
        <v>1.016</v>
      </c>
      <c r="I21" s="350">
        <v>1.0129999999999999</v>
      </c>
      <c r="J21" s="350">
        <v>1.0069999999999999</v>
      </c>
      <c r="K21" s="350">
        <v>1.0069999999999999</v>
      </c>
      <c r="L21" s="350">
        <v>1.0049999999999999</v>
      </c>
      <c r="M21" s="350" t="s">
        <v>31</v>
      </c>
      <c r="N21" s="350" t="s">
        <v>31</v>
      </c>
      <c r="O21" s="350" t="s">
        <v>31</v>
      </c>
      <c r="P21" s="350" t="s">
        <v>31</v>
      </c>
      <c r="Q21" s="350" t="s">
        <v>31</v>
      </c>
    </row>
    <row r="22" spans="1:17" ht="13.35" customHeight="1">
      <c r="A22" s="7">
        <f t="shared" si="0"/>
        <v>2013</v>
      </c>
      <c r="B22" s="350">
        <v>1.931</v>
      </c>
      <c r="C22" s="350">
        <v>1.2589999999999999</v>
      </c>
      <c r="D22" s="350">
        <v>1.111</v>
      </c>
      <c r="E22" s="350">
        <v>1.0549999999999999</v>
      </c>
      <c r="F22" s="350">
        <v>1.032</v>
      </c>
      <c r="G22" s="350">
        <v>1.02</v>
      </c>
      <c r="H22" s="350">
        <v>1.0129999999999999</v>
      </c>
      <c r="I22" s="350">
        <v>1.0069999999999999</v>
      </c>
      <c r="J22" s="350">
        <v>1.006</v>
      </c>
      <c r="K22" s="350">
        <v>1.006</v>
      </c>
      <c r="L22" s="350" t="s">
        <v>31</v>
      </c>
      <c r="M22" s="350" t="s">
        <v>31</v>
      </c>
      <c r="N22" s="350" t="s">
        <v>31</v>
      </c>
      <c r="O22" s="350" t="s">
        <v>31</v>
      </c>
      <c r="P22" s="350" t="s">
        <v>31</v>
      </c>
      <c r="Q22" s="350" t="s">
        <v>31</v>
      </c>
    </row>
    <row r="23" spans="1:17" ht="13.35" customHeight="1">
      <c r="A23" s="7">
        <f t="shared" si="0"/>
        <v>2014</v>
      </c>
      <c r="B23" s="350">
        <v>1.96</v>
      </c>
      <c r="C23" s="350">
        <v>1.278</v>
      </c>
      <c r="D23" s="350">
        <v>1.115</v>
      </c>
      <c r="E23" s="350">
        <v>1.0589999999999999</v>
      </c>
      <c r="F23" s="350">
        <v>1.0289999999999999</v>
      </c>
      <c r="G23" s="350">
        <v>1.016</v>
      </c>
      <c r="H23" s="350">
        <v>1.0109999999999999</v>
      </c>
      <c r="I23" s="350">
        <v>1.006</v>
      </c>
      <c r="J23" s="350">
        <v>1.0089999999999999</v>
      </c>
      <c r="K23" s="350" t="s">
        <v>31</v>
      </c>
      <c r="L23" s="350" t="s">
        <v>31</v>
      </c>
      <c r="M23" s="350" t="s">
        <v>31</v>
      </c>
      <c r="N23" s="350" t="s">
        <v>31</v>
      </c>
      <c r="O23" s="350" t="s">
        <v>31</v>
      </c>
      <c r="P23" s="350" t="s">
        <v>31</v>
      </c>
      <c r="Q23" s="350" t="s">
        <v>31</v>
      </c>
    </row>
    <row r="24" spans="1:17" ht="13.35" customHeight="1">
      <c r="A24" s="7">
        <f t="shared" si="0"/>
        <v>2015</v>
      </c>
      <c r="B24" s="350">
        <v>1.9690000000000001</v>
      </c>
      <c r="C24" s="350">
        <v>1.26</v>
      </c>
      <c r="D24" s="350">
        <v>1.101</v>
      </c>
      <c r="E24" s="350">
        <v>1.0469999999999999</v>
      </c>
      <c r="F24" s="350">
        <v>1.0269999999999999</v>
      </c>
      <c r="G24" s="350">
        <v>1.0169999999999999</v>
      </c>
      <c r="H24" s="350">
        <v>1.008</v>
      </c>
      <c r="I24" s="350">
        <v>1.008</v>
      </c>
      <c r="J24" s="350" t="s">
        <v>31</v>
      </c>
      <c r="K24" s="350" t="s">
        <v>31</v>
      </c>
      <c r="L24" s="350" t="s">
        <v>31</v>
      </c>
      <c r="M24" s="350" t="s">
        <v>31</v>
      </c>
      <c r="N24" s="350" t="s">
        <v>31</v>
      </c>
      <c r="O24" s="350" t="s">
        <v>31</v>
      </c>
      <c r="P24" s="350" t="s">
        <v>31</v>
      </c>
      <c r="Q24" s="350" t="s">
        <v>31</v>
      </c>
    </row>
    <row r="25" spans="1:17" ht="13.35" customHeight="1">
      <c r="A25" s="7">
        <f t="shared" si="0"/>
        <v>2016</v>
      </c>
      <c r="B25" s="350">
        <v>1.9410000000000001</v>
      </c>
      <c r="C25" s="350">
        <v>1.246</v>
      </c>
      <c r="D25" s="350">
        <v>1.095</v>
      </c>
      <c r="E25" s="350">
        <v>1.046</v>
      </c>
      <c r="F25" s="350">
        <v>1.026</v>
      </c>
      <c r="G25" s="350">
        <v>1.0169999999999999</v>
      </c>
      <c r="H25" s="350">
        <v>1.0109999999999999</v>
      </c>
      <c r="I25" s="350" t="s">
        <v>31</v>
      </c>
      <c r="J25" s="350" t="s">
        <v>31</v>
      </c>
      <c r="K25" s="350" t="s">
        <v>31</v>
      </c>
      <c r="L25" s="350" t="s">
        <v>31</v>
      </c>
      <c r="M25" s="350" t="s">
        <v>31</v>
      </c>
      <c r="N25" s="350" t="s">
        <v>31</v>
      </c>
      <c r="O25" s="350" t="s">
        <v>31</v>
      </c>
      <c r="P25" s="350" t="s">
        <v>31</v>
      </c>
      <c r="Q25" s="350" t="s">
        <v>31</v>
      </c>
    </row>
    <row r="26" spans="1:17" ht="13.35" customHeight="1">
      <c r="A26" s="7">
        <f t="shared" si="0"/>
        <v>2017</v>
      </c>
      <c r="B26" s="350">
        <v>1.911</v>
      </c>
      <c r="C26" s="350">
        <v>1.2410000000000001</v>
      </c>
      <c r="D26" s="350">
        <v>1.0880000000000001</v>
      </c>
      <c r="E26" s="350">
        <v>1.0429999999999999</v>
      </c>
      <c r="F26" s="350">
        <v>1.028</v>
      </c>
      <c r="G26" s="350">
        <v>1.016</v>
      </c>
      <c r="H26" s="350" t="s">
        <v>31</v>
      </c>
      <c r="I26" s="350" t="s">
        <v>31</v>
      </c>
      <c r="J26" s="350" t="s">
        <v>31</v>
      </c>
      <c r="K26" s="350" t="s">
        <v>31</v>
      </c>
      <c r="L26" s="350" t="s">
        <v>31</v>
      </c>
      <c r="M26" s="350" t="s">
        <v>31</v>
      </c>
      <c r="N26" s="350" t="s">
        <v>31</v>
      </c>
      <c r="O26" s="350" t="s">
        <v>31</v>
      </c>
      <c r="P26" s="350" t="s">
        <v>31</v>
      </c>
      <c r="Q26" s="350" t="s">
        <v>31</v>
      </c>
    </row>
    <row r="27" spans="1:17" ht="13.35" customHeight="1">
      <c r="A27" s="7">
        <f t="shared" si="0"/>
        <v>2018</v>
      </c>
      <c r="B27" s="350">
        <v>1.901</v>
      </c>
      <c r="C27" s="350">
        <v>1.228</v>
      </c>
      <c r="D27" s="350">
        <v>1.083</v>
      </c>
      <c r="E27" s="350">
        <v>1.0429999999999999</v>
      </c>
      <c r="F27" s="350">
        <v>1.028</v>
      </c>
      <c r="G27" s="350" t="s">
        <v>31</v>
      </c>
      <c r="H27" s="350" t="s">
        <v>31</v>
      </c>
      <c r="I27" s="350" t="s">
        <v>31</v>
      </c>
      <c r="J27" s="350" t="s">
        <v>31</v>
      </c>
      <c r="K27" s="350" t="s">
        <v>31</v>
      </c>
      <c r="L27" s="350" t="s">
        <v>31</v>
      </c>
      <c r="M27" s="350" t="s">
        <v>31</v>
      </c>
      <c r="N27" s="350" t="s">
        <v>31</v>
      </c>
      <c r="O27" s="350" t="s">
        <v>31</v>
      </c>
      <c r="P27" s="350" t="s">
        <v>31</v>
      </c>
      <c r="Q27" s="350" t="s">
        <v>31</v>
      </c>
    </row>
    <row r="28" spans="1:17" ht="13.35" customHeight="1">
      <c r="A28" s="7">
        <f t="shared" si="0"/>
        <v>2019</v>
      </c>
      <c r="B28" s="350">
        <v>1.9</v>
      </c>
      <c r="C28" s="350">
        <v>1.2310000000000001</v>
      </c>
      <c r="D28" s="350">
        <v>1.1000000000000001</v>
      </c>
      <c r="E28" s="350">
        <v>1.052</v>
      </c>
      <c r="F28" s="350" t="s">
        <v>31</v>
      </c>
      <c r="G28" s="350" t="s">
        <v>31</v>
      </c>
      <c r="H28" s="350" t="s">
        <v>31</v>
      </c>
      <c r="I28" s="350" t="s">
        <v>31</v>
      </c>
      <c r="J28" s="350" t="s">
        <v>31</v>
      </c>
      <c r="K28" s="350" t="s">
        <v>31</v>
      </c>
      <c r="L28" s="350" t="s">
        <v>31</v>
      </c>
      <c r="M28" s="350" t="s">
        <v>31</v>
      </c>
      <c r="N28" s="350" t="s">
        <v>31</v>
      </c>
      <c r="O28" s="350" t="s">
        <v>31</v>
      </c>
      <c r="P28" s="350" t="s">
        <v>31</v>
      </c>
      <c r="Q28" s="350" t="s">
        <v>31</v>
      </c>
    </row>
    <row r="29" spans="1:17" ht="13.35" customHeight="1">
      <c r="A29" s="7">
        <f t="shared" si="0"/>
        <v>2020</v>
      </c>
      <c r="B29" s="350">
        <v>1.8149999999999999</v>
      </c>
      <c r="C29" s="350">
        <v>1.238</v>
      </c>
      <c r="D29" s="350">
        <v>1.1100000000000001</v>
      </c>
      <c r="E29" s="350" t="s">
        <v>31</v>
      </c>
      <c r="F29" s="350" t="s">
        <v>31</v>
      </c>
      <c r="G29" s="350" t="s">
        <v>31</v>
      </c>
      <c r="H29" s="350" t="s">
        <v>31</v>
      </c>
      <c r="I29" s="350" t="s">
        <v>31</v>
      </c>
      <c r="J29" s="350" t="s">
        <v>31</v>
      </c>
      <c r="K29" s="350" t="s">
        <v>31</v>
      </c>
      <c r="L29" s="350" t="s">
        <v>31</v>
      </c>
      <c r="M29" s="350" t="s">
        <v>31</v>
      </c>
      <c r="N29" s="350" t="s">
        <v>31</v>
      </c>
      <c r="O29" s="350" t="s">
        <v>31</v>
      </c>
      <c r="P29" s="350" t="s">
        <v>31</v>
      </c>
      <c r="Q29" s="350" t="s">
        <v>31</v>
      </c>
    </row>
    <row r="30" spans="1:17" ht="13.35" customHeight="1">
      <c r="A30" s="7">
        <f t="shared" si="0"/>
        <v>2021</v>
      </c>
      <c r="B30" s="350">
        <v>1.9079999999999999</v>
      </c>
      <c r="C30" s="350">
        <v>1.2529999999999999</v>
      </c>
      <c r="D30" s="350" t="s">
        <v>31</v>
      </c>
      <c r="E30" s="350" t="s">
        <v>31</v>
      </c>
      <c r="F30" s="350" t="s">
        <v>31</v>
      </c>
      <c r="G30" s="350" t="s">
        <v>31</v>
      </c>
      <c r="H30" s="350" t="s">
        <v>31</v>
      </c>
      <c r="I30" s="350" t="s">
        <v>31</v>
      </c>
      <c r="J30" s="350" t="s">
        <v>31</v>
      </c>
      <c r="K30" s="350" t="s">
        <v>31</v>
      </c>
      <c r="L30" s="350" t="s">
        <v>31</v>
      </c>
      <c r="M30" s="350" t="s">
        <v>31</v>
      </c>
      <c r="N30" s="350" t="s">
        <v>31</v>
      </c>
      <c r="O30" s="350" t="s">
        <v>31</v>
      </c>
      <c r="P30" s="350" t="s">
        <v>31</v>
      </c>
      <c r="Q30" s="350" t="s">
        <v>31</v>
      </c>
    </row>
    <row r="31" spans="1:17" ht="13.35" customHeight="1">
      <c r="A31" s="7">
        <v>2022</v>
      </c>
      <c r="B31" s="350">
        <v>1.94</v>
      </c>
      <c r="C31" s="350" t="s">
        <v>31</v>
      </c>
      <c r="D31" s="350" t="s">
        <v>31</v>
      </c>
      <c r="E31" s="350" t="s">
        <v>31</v>
      </c>
      <c r="F31" s="350" t="s">
        <v>31</v>
      </c>
      <c r="G31" s="350" t="s">
        <v>31</v>
      </c>
      <c r="H31" s="350" t="s">
        <v>31</v>
      </c>
      <c r="I31" s="350" t="s">
        <v>31</v>
      </c>
      <c r="J31" s="350" t="s">
        <v>31</v>
      </c>
      <c r="K31" s="350" t="s">
        <v>31</v>
      </c>
      <c r="L31" s="350" t="s">
        <v>31</v>
      </c>
      <c r="M31" s="350" t="s">
        <v>31</v>
      </c>
      <c r="N31" s="350" t="s">
        <v>31</v>
      </c>
      <c r="O31" s="350" t="s">
        <v>31</v>
      </c>
      <c r="P31" s="350" t="s">
        <v>31</v>
      </c>
      <c r="Q31" s="350" t="s">
        <v>31</v>
      </c>
    </row>
    <row r="32" spans="1:17" ht="13.35" customHeight="1">
      <c r="B32" s="60"/>
      <c r="C32" s="60"/>
      <c r="D32" s="60"/>
      <c r="E32" s="60"/>
      <c r="F32" s="60"/>
      <c r="G32" s="60"/>
      <c r="H32" s="60"/>
      <c r="I32" s="8"/>
      <c r="J32" s="60"/>
      <c r="K32" s="60"/>
      <c r="L32" s="60"/>
      <c r="M32" s="60"/>
      <c r="N32" s="60"/>
      <c r="O32" s="60"/>
      <c r="P32" s="60"/>
    </row>
    <row r="33" spans="1:17" ht="13.35" customHeight="1">
      <c r="A33" s="7" t="s">
        <v>20</v>
      </c>
      <c r="B33" s="351">
        <f>ROUND(B31,3)</f>
        <v>1.94</v>
      </c>
      <c r="C33" s="351">
        <f>ROUND(C30,3)</f>
        <v>1.2529999999999999</v>
      </c>
      <c r="D33" s="351">
        <f>ROUND(D29,3)</f>
        <v>1.1100000000000001</v>
      </c>
      <c r="E33" s="351">
        <f>ROUND(E28,3)</f>
        <v>1.052</v>
      </c>
      <c r="F33" s="351">
        <f>ROUND(F27,3)</f>
        <v>1.028</v>
      </c>
      <c r="G33" s="351">
        <f>ROUND(G26,3)</f>
        <v>1.016</v>
      </c>
      <c r="H33" s="351">
        <f>ROUND(H25,3)</f>
        <v>1.0109999999999999</v>
      </c>
      <c r="I33" s="351">
        <f>ROUND(I24,3)</f>
        <v>1.008</v>
      </c>
      <c r="J33" s="351">
        <f>AVERAGE(J18:J23)</f>
        <v>1.0085</v>
      </c>
      <c r="K33" s="351">
        <f>AVERAGE(K17:K22)</f>
        <v>1.0069999999999999</v>
      </c>
      <c r="L33" s="351">
        <f>AVERAGE(L16:L21)</f>
        <v>1.0053333333333332</v>
      </c>
      <c r="M33" s="351">
        <f>AVERAGE(M15:M20)</f>
        <v>1.0063333333333333</v>
      </c>
      <c r="N33" s="351">
        <f>AVERAGE(N14:N19)</f>
        <v>1.0036666666666665</v>
      </c>
      <c r="O33" s="351">
        <f>AVERAGE(O13:O18)</f>
        <v>1.0028333333333332</v>
      </c>
      <c r="P33" s="351">
        <f>AVERAGE(P12:P17)</f>
        <v>1.0031666666666668</v>
      </c>
      <c r="Q33" s="351">
        <f>AVERAGE(Q11:Q16)</f>
        <v>1.0021666666666667</v>
      </c>
    </row>
    <row r="34" spans="1:17" ht="13.35" customHeight="1">
      <c r="A34" s="7" t="s">
        <v>21</v>
      </c>
      <c r="B34" s="351">
        <f>C34*B33</f>
        <v>3.1845850102690738</v>
      </c>
      <c r="C34" s="351">
        <f t="shared" ref="C34:P34" si="1">D34*C33</f>
        <v>1.6415386650871515</v>
      </c>
      <c r="D34" s="351">
        <f t="shared" si="1"/>
        <v>1.3100867239322838</v>
      </c>
      <c r="E34" s="351">
        <f t="shared" si="1"/>
        <v>1.1802583098489041</v>
      </c>
      <c r="F34" s="351">
        <f t="shared" si="1"/>
        <v>1.121918545483749</v>
      </c>
      <c r="G34" s="351">
        <f t="shared" si="1"/>
        <v>1.0913604528052032</v>
      </c>
      <c r="H34" s="351">
        <f t="shared" si="1"/>
        <v>1.0741736740208694</v>
      </c>
      <c r="I34" s="351">
        <f t="shared" si="1"/>
        <v>1.0624863244518985</v>
      </c>
      <c r="J34" s="351">
        <f t="shared" si="1"/>
        <v>1.0540538933054548</v>
      </c>
      <c r="K34" s="351">
        <f t="shared" si="1"/>
        <v>1.045169948741155</v>
      </c>
      <c r="L34" s="351">
        <f t="shared" si="1"/>
        <v>1.0379046164261718</v>
      </c>
      <c r="M34" s="351">
        <f t="shared" si="1"/>
        <v>1.0323984911400914</v>
      </c>
      <c r="N34" s="351">
        <f t="shared" si="1"/>
        <v>1.0259011173965797</v>
      </c>
      <c r="O34" s="351">
        <f t="shared" si="1"/>
        <v>1.022153222248336</v>
      </c>
      <c r="P34" s="351">
        <f t="shared" si="1"/>
        <v>1.0192653038873221</v>
      </c>
      <c r="Q34" s="351">
        <f>'Exhibit 2.1.2'!B32*Q33</f>
        <v>1.0160478191267539</v>
      </c>
    </row>
    <row r="35" spans="1:17" ht="13.35" customHeight="1">
      <c r="A35" s="60"/>
      <c r="B35" s="60"/>
      <c r="C35" s="60"/>
      <c r="D35" s="60"/>
      <c r="E35" s="60"/>
      <c r="F35" s="60"/>
      <c r="G35" s="60"/>
      <c r="H35" s="60"/>
      <c r="I35" s="60"/>
      <c r="J35" s="60"/>
      <c r="K35" s="60"/>
      <c r="L35" s="60"/>
      <c r="M35" s="60"/>
      <c r="N35" s="60"/>
      <c r="O35" s="60"/>
      <c r="P35" s="60"/>
    </row>
    <row r="36" spans="1:17" ht="12.75" customHeight="1">
      <c r="A36" s="5" t="s">
        <v>356</v>
      </c>
      <c r="B36" s="70" t="s">
        <v>411</v>
      </c>
      <c r="C36" s="67"/>
      <c r="D36" s="67"/>
      <c r="E36" s="67"/>
      <c r="F36" s="67"/>
      <c r="G36" s="67"/>
      <c r="H36" s="67"/>
      <c r="I36" s="67"/>
      <c r="J36" s="67"/>
      <c r="K36" s="67"/>
      <c r="L36" s="67"/>
      <c r="M36" s="67"/>
      <c r="N36" s="67"/>
      <c r="O36" s="67"/>
      <c r="P36" s="67"/>
    </row>
  </sheetData>
  <sheetProtection selectLockedCells="1" selectUnlockedCells="1"/>
  <printOptions horizontalCentered="1"/>
  <pageMargins left="0.7" right="0.7" top="0.75" bottom="0.75" header="0.3" footer="0.3"/>
  <pageSetup scale="88" orientation="landscape" blackAndWhite="1" r:id="rId1"/>
  <headerFooter scaleWithDoc="0"/>
  <ignoredErrors>
    <ignoredError sqref="J33:Q33"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N54"/>
  <sheetViews>
    <sheetView zoomScaleNormal="100" zoomScaleSheetLayoutView="100" workbookViewId="0"/>
  </sheetViews>
  <sheetFormatPr defaultColWidth="9.140625" defaultRowHeight="12.75"/>
  <cols>
    <col min="1" max="1" width="9.140625" style="79"/>
    <col min="2" max="2" width="15.140625" style="33" bestFit="1" customWidth="1"/>
    <col min="3" max="3" width="2.85546875" style="33" customWidth="1"/>
    <col min="4" max="4" width="15.140625" style="33" bestFit="1" customWidth="1"/>
    <col min="5" max="5" width="3.140625" style="33" customWidth="1"/>
    <col min="6" max="6" width="7.85546875" style="33" customWidth="1"/>
    <col min="7" max="7" width="13.85546875" style="33" customWidth="1"/>
    <col min="8" max="8" width="7.42578125" style="33" customWidth="1"/>
    <col min="9" max="9" width="13.85546875" style="33" customWidth="1"/>
    <col min="10" max="10" width="7.85546875" style="33" customWidth="1"/>
    <col min="11" max="11" width="6.140625" style="79" customWidth="1"/>
    <col min="12" max="12" width="12.85546875" style="79" customWidth="1"/>
    <col min="13" max="13" width="9.140625" style="79" customWidth="1"/>
    <col min="14" max="16384" width="9.140625" style="79"/>
  </cols>
  <sheetData>
    <row r="1" spans="1:14">
      <c r="A1" s="99" t="s">
        <v>71</v>
      </c>
      <c r="B1" s="27"/>
      <c r="C1" s="27"/>
      <c r="D1" s="27"/>
      <c r="E1" s="27"/>
      <c r="F1" s="27"/>
      <c r="G1" s="27"/>
      <c r="H1" s="27"/>
      <c r="I1" s="27"/>
      <c r="J1" s="27"/>
      <c r="K1" s="27"/>
      <c r="L1" s="27"/>
      <c r="M1" s="27"/>
      <c r="N1" s="281"/>
    </row>
    <row r="2" spans="1:14" ht="22.35" customHeight="1">
      <c r="A2" s="281"/>
      <c r="B2" s="281"/>
      <c r="C2" s="281"/>
      <c r="D2" s="281"/>
      <c r="E2" s="281"/>
      <c r="F2" s="281"/>
      <c r="G2" s="281"/>
      <c r="H2" s="281"/>
      <c r="I2" s="281"/>
      <c r="J2" s="281"/>
      <c r="K2" s="281"/>
      <c r="L2" s="281"/>
      <c r="M2" s="281"/>
      <c r="N2" s="281"/>
    </row>
    <row r="3" spans="1:14">
      <c r="A3" s="281"/>
      <c r="B3" s="29" t="s">
        <v>38</v>
      </c>
      <c r="C3" s="29"/>
      <c r="D3" s="29" t="s">
        <v>39</v>
      </c>
      <c r="E3" s="29"/>
      <c r="F3" s="29" t="s">
        <v>40</v>
      </c>
      <c r="G3" s="281"/>
      <c r="H3" s="29" t="s">
        <v>41</v>
      </c>
      <c r="I3" s="281"/>
      <c r="J3" s="29" t="s">
        <v>42</v>
      </c>
      <c r="K3" s="281"/>
      <c r="L3" s="29" t="s">
        <v>43</v>
      </c>
      <c r="M3" s="281"/>
      <c r="N3" s="281"/>
    </row>
    <row r="4" spans="1:14">
      <c r="A4" s="281"/>
      <c r="B4" s="28" t="s">
        <v>72</v>
      </c>
      <c r="C4" s="28"/>
      <c r="D4" s="28" t="s">
        <v>72</v>
      </c>
      <c r="E4" s="28"/>
      <c r="F4" s="28" t="s">
        <v>73</v>
      </c>
      <c r="G4" s="28"/>
      <c r="H4" s="28"/>
      <c r="I4" s="281"/>
      <c r="J4" s="28" t="s">
        <v>73</v>
      </c>
      <c r="K4" s="281"/>
      <c r="L4" s="28" t="s">
        <v>55</v>
      </c>
      <c r="M4" s="281"/>
      <c r="N4" s="281"/>
    </row>
    <row r="5" spans="1:14">
      <c r="A5" s="281"/>
      <c r="B5" s="28" t="s">
        <v>5</v>
      </c>
      <c r="C5" s="28"/>
      <c r="D5" s="28" t="s">
        <v>76</v>
      </c>
      <c r="E5" s="28"/>
      <c r="F5" s="28" t="s">
        <v>77</v>
      </c>
      <c r="G5" s="28"/>
      <c r="H5" s="28" t="s">
        <v>78</v>
      </c>
      <c r="I5" s="281"/>
      <c r="J5" s="28" t="s">
        <v>79</v>
      </c>
      <c r="K5" s="281"/>
      <c r="L5" s="28" t="s">
        <v>80</v>
      </c>
      <c r="M5" s="281"/>
      <c r="N5" s="281"/>
    </row>
    <row r="6" spans="1:14">
      <c r="A6" s="28" t="s">
        <v>46</v>
      </c>
      <c r="B6" s="28" t="s">
        <v>81</v>
      </c>
      <c r="C6" s="28"/>
      <c r="D6" s="28" t="s">
        <v>81</v>
      </c>
      <c r="E6" s="28"/>
      <c r="F6" s="28" t="s">
        <v>82</v>
      </c>
      <c r="G6" s="28"/>
      <c r="H6" s="28" t="s">
        <v>5</v>
      </c>
      <c r="I6" s="281"/>
      <c r="J6" s="28" t="s">
        <v>83</v>
      </c>
      <c r="K6" s="281"/>
      <c r="L6" s="28" t="s">
        <v>84</v>
      </c>
      <c r="M6" s="281"/>
      <c r="N6" s="281"/>
    </row>
    <row r="7" spans="1:14" ht="12.75" customHeight="1">
      <c r="A7" s="30" t="s">
        <v>8</v>
      </c>
      <c r="B7" s="30" t="s">
        <v>85</v>
      </c>
      <c r="C7" s="30"/>
      <c r="D7" s="30" t="s">
        <v>85</v>
      </c>
      <c r="E7" s="28"/>
      <c r="F7" s="30" t="s">
        <v>86</v>
      </c>
      <c r="G7" s="28"/>
      <c r="H7" s="30" t="s">
        <v>87</v>
      </c>
      <c r="I7" s="281"/>
      <c r="J7" s="30" t="s">
        <v>88</v>
      </c>
      <c r="K7" s="281"/>
      <c r="L7" s="30" t="s">
        <v>89</v>
      </c>
      <c r="M7" s="281"/>
      <c r="N7" s="281"/>
    </row>
    <row r="8" spans="1:14" ht="14.85" customHeight="1">
      <c r="A8" s="28">
        <f>+'Exhibit 4.1'!B9</f>
        <v>1987</v>
      </c>
      <c r="B8" s="130">
        <v>0.61</v>
      </c>
      <c r="C8" s="20"/>
      <c r="D8" s="20">
        <f t="shared" ref="D8:D46" si="0">1-B8</f>
        <v>0.39</v>
      </c>
      <c r="E8" s="28"/>
      <c r="F8" s="371">
        <v>8.9999999999999993E-3</v>
      </c>
      <c r="G8" s="206"/>
      <c r="H8" s="371">
        <v>7.3999999999999996E-2</v>
      </c>
      <c r="I8" s="206"/>
      <c r="J8" s="371">
        <v>2.8999999999999915E-2</v>
      </c>
      <c r="K8" s="28"/>
      <c r="L8" s="132">
        <f t="shared" ref="L8:L37" si="1">F8+J8</f>
        <v>3.7999999999999916E-2</v>
      </c>
      <c r="M8" s="281"/>
      <c r="N8" s="281"/>
    </row>
    <row r="9" spans="1:14" ht="14.85" customHeight="1">
      <c r="A9" s="28">
        <f>+'Exhibit 4.1'!B10</f>
        <v>1988</v>
      </c>
      <c r="B9" s="130">
        <v>0.64900000000000002</v>
      </c>
      <c r="C9" s="20"/>
      <c r="D9" s="20">
        <f t="shared" si="0"/>
        <v>0.35099999999999998</v>
      </c>
      <c r="E9" s="28"/>
      <c r="F9" s="371">
        <v>8.0000000000000002E-3</v>
      </c>
      <c r="G9" s="206"/>
      <c r="H9" s="371">
        <v>7.6999999999999999E-2</v>
      </c>
      <c r="I9" s="206"/>
      <c r="J9" s="373">
        <f>ROUND(B8*1+D8*(H9+1)-1,3)</f>
        <v>0.03</v>
      </c>
      <c r="K9" s="28"/>
      <c r="L9" s="132">
        <f t="shared" si="1"/>
        <v>3.7999999999999999E-2</v>
      </c>
      <c r="M9" s="281"/>
      <c r="N9" s="281"/>
    </row>
    <row r="10" spans="1:14" ht="14.85" customHeight="1">
      <c r="A10" s="28">
        <f>+'Exhibit 4.1'!B11</f>
        <v>1989</v>
      </c>
      <c r="B10" s="130">
        <v>0.64700000000000002</v>
      </c>
      <c r="C10" s="20"/>
      <c r="D10" s="20">
        <f t="shared" si="0"/>
        <v>0.35299999999999998</v>
      </c>
      <c r="E10" s="28"/>
      <c r="F10" s="371">
        <v>0</v>
      </c>
      <c r="G10" s="206"/>
      <c r="H10" s="371">
        <v>8.5999999999999993E-2</v>
      </c>
      <c r="I10" s="206"/>
      <c r="J10" s="373">
        <f t="shared" ref="J10:J23" si="2">ROUND(B9*1+D9*(H10+1)-1,3)</f>
        <v>0.03</v>
      </c>
      <c r="K10" s="28"/>
      <c r="L10" s="132">
        <f t="shared" si="1"/>
        <v>0.03</v>
      </c>
      <c r="M10" s="281"/>
      <c r="N10" s="281"/>
    </row>
    <row r="11" spans="1:14" ht="14.85" customHeight="1">
      <c r="A11" s="28">
        <f>+'Exhibit 4.1'!B12</f>
        <v>1990</v>
      </c>
      <c r="B11" s="130">
        <v>0.66100000000000003</v>
      </c>
      <c r="C11" s="20"/>
      <c r="D11" s="20">
        <f t="shared" si="0"/>
        <v>0.33899999999999997</v>
      </c>
      <c r="E11" s="28"/>
      <c r="F11" s="371">
        <v>0</v>
      </c>
      <c r="G11" s="206"/>
      <c r="H11" s="371">
        <v>0.104</v>
      </c>
      <c r="I11" s="206"/>
      <c r="J11" s="373">
        <f t="shared" si="2"/>
        <v>3.6999999999999998E-2</v>
      </c>
      <c r="K11" s="28"/>
      <c r="L11" s="132">
        <f t="shared" si="1"/>
        <v>3.6999999999999998E-2</v>
      </c>
      <c r="M11" s="281"/>
      <c r="N11" s="281"/>
    </row>
    <row r="12" spans="1:14" ht="14.85" customHeight="1">
      <c r="A12" s="28">
        <f>+'Exhibit 4.1'!B13</f>
        <v>1991</v>
      </c>
      <c r="B12" s="130">
        <v>0.63100000000000001</v>
      </c>
      <c r="C12" s="20"/>
      <c r="D12" s="20">
        <f t="shared" si="0"/>
        <v>0.36899999999999999</v>
      </c>
      <c r="E12" s="28"/>
      <c r="F12" s="371">
        <v>0</v>
      </c>
      <c r="G12" s="206"/>
      <c r="H12" s="371">
        <v>0.106</v>
      </c>
      <c r="I12" s="206"/>
      <c r="J12" s="373">
        <f t="shared" si="2"/>
        <v>3.5999999999999997E-2</v>
      </c>
      <c r="K12" s="28"/>
      <c r="L12" s="132">
        <f t="shared" si="1"/>
        <v>3.5999999999999997E-2</v>
      </c>
      <c r="M12" s="281"/>
      <c r="N12" s="281"/>
    </row>
    <row r="13" spans="1:14" ht="14.85" customHeight="1">
      <c r="A13" s="28">
        <f>+'Exhibit 4.1'!B14</f>
        <v>1992</v>
      </c>
      <c r="B13" s="130">
        <v>0.628</v>
      </c>
      <c r="C13" s="20"/>
      <c r="D13" s="20">
        <f t="shared" si="0"/>
        <v>0.372</v>
      </c>
      <c r="E13" s="28"/>
      <c r="F13" s="371">
        <v>0</v>
      </c>
      <c r="G13" s="206"/>
      <c r="H13" s="371">
        <v>8.1000000000000003E-2</v>
      </c>
      <c r="I13" s="206"/>
      <c r="J13" s="373">
        <f t="shared" si="2"/>
        <v>0.03</v>
      </c>
      <c r="K13" s="28"/>
      <c r="L13" s="132">
        <f t="shared" si="1"/>
        <v>0.03</v>
      </c>
      <c r="M13" s="281"/>
      <c r="N13" s="281"/>
    </row>
    <row r="14" spans="1:14" ht="14.85" customHeight="1">
      <c r="A14" s="28">
        <f>+'Exhibit 4.1'!B15</f>
        <v>1993</v>
      </c>
      <c r="B14" s="130">
        <v>0.56499999999999995</v>
      </c>
      <c r="C14" s="20"/>
      <c r="D14" s="20">
        <f t="shared" si="0"/>
        <v>0.43500000000000005</v>
      </c>
      <c r="E14" s="28"/>
      <c r="F14" s="371">
        <v>0</v>
      </c>
      <c r="G14" s="206"/>
      <c r="H14" s="371">
        <v>7.2999999999999995E-2</v>
      </c>
      <c r="I14" s="206"/>
      <c r="J14" s="373">
        <f t="shared" si="2"/>
        <v>2.7E-2</v>
      </c>
      <c r="K14" s="28"/>
      <c r="L14" s="132">
        <f t="shared" si="1"/>
        <v>2.7E-2</v>
      </c>
      <c r="M14" s="281"/>
      <c r="N14" s="281"/>
    </row>
    <row r="15" spans="1:14" ht="14.85" customHeight="1">
      <c r="A15" s="28">
        <f>+'Exhibit 4.1'!B16</f>
        <v>1994</v>
      </c>
      <c r="B15" s="130">
        <v>0.69100000000000006</v>
      </c>
      <c r="C15" s="20"/>
      <c r="D15" s="20">
        <f t="shared" si="0"/>
        <v>0.30899999999999994</v>
      </c>
      <c r="E15" s="28"/>
      <c r="F15" s="371">
        <v>-3.5999999999999997E-2</v>
      </c>
      <c r="G15" s="206"/>
      <c r="H15" s="371">
        <v>4.2999999999999997E-2</v>
      </c>
      <c r="I15" s="206"/>
      <c r="J15" s="374">
        <f>ROUND((B14+0.138)*1+(D14-0.138)*(H15+1)-1,3)</f>
        <v>1.2999999999999999E-2</v>
      </c>
      <c r="K15" s="100" t="s">
        <v>90</v>
      </c>
      <c r="L15" s="132">
        <f t="shared" si="1"/>
        <v>-2.3E-2</v>
      </c>
      <c r="M15" s="281"/>
      <c r="N15" s="281"/>
    </row>
    <row r="16" spans="1:14" ht="14.85" customHeight="1">
      <c r="A16" s="28">
        <f>+'Exhibit 4.1'!B17</f>
        <v>1995</v>
      </c>
      <c r="B16" s="130">
        <v>0.6811594202898551</v>
      </c>
      <c r="C16" s="20"/>
      <c r="D16" s="20">
        <f t="shared" si="0"/>
        <v>0.3188405797101449</v>
      </c>
      <c r="E16" s="28"/>
      <c r="F16" s="371">
        <v>0</v>
      </c>
      <c r="G16" s="206"/>
      <c r="H16" s="371">
        <v>0.03</v>
      </c>
      <c r="I16" s="206"/>
      <c r="J16" s="373">
        <f t="shared" si="2"/>
        <v>8.9999999999999993E-3</v>
      </c>
      <c r="K16" s="28"/>
      <c r="L16" s="132">
        <f t="shared" si="1"/>
        <v>8.9999999999999993E-3</v>
      </c>
      <c r="M16" s="281"/>
      <c r="N16" s="281"/>
    </row>
    <row r="17" spans="1:14" ht="14.85" customHeight="1">
      <c r="A17" s="28">
        <f>+'Exhibit 4.1'!B18</f>
        <v>1996</v>
      </c>
      <c r="B17" s="130">
        <v>0.66277712952158685</v>
      </c>
      <c r="C17" s="20"/>
      <c r="D17" s="20">
        <f t="shared" si="0"/>
        <v>0.33722287047841315</v>
      </c>
      <c r="E17" s="28"/>
      <c r="F17" s="371">
        <v>0</v>
      </c>
      <c r="G17" s="206"/>
      <c r="H17" s="371">
        <v>0.03</v>
      </c>
      <c r="I17" s="206"/>
      <c r="J17" s="373">
        <f t="shared" si="2"/>
        <v>0.01</v>
      </c>
      <c r="K17" s="28"/>
      <c r="L17" s="132">
        <f t="shared" si="1"/>
        <v>0.01</v>
      </c>
      <c r="M17" s="281"/>
      <c r="N17" s="281"/>
    </row>
    <row r="18" spans="1:14" ht="14.85" customHeight="1">
      <c r="A18" s="28">
        <f>+'Exhibit 4.1'!B19</f>
        <v>1997</v>
      </c>
      <c r="B18" s="130">
        <v>0.64316702819956606</v>
      </c>
      <c r="C18" s="20"/>
      <c r="D18" s="20">
        <f t="shared" si="0"/>
        <v>0.35683297180043394</v>
      </c>
      <c r="E18" s="28"/>
      <c r="F18" s="371">
        <v>0</v>
      </c>
      <c r="G18" s="206"/>
      <c r="H18" s="371">
        <v>2.1999999999999999E-2</v>
      </c>
      <c r="I18" s="206"/>
      <c r="J18" s="373">
        <f t="shared" si="2"/>
        <v>7.0000000000000001E-3</v>
      </c>
      <c r="K18" s="28"/>
      <c r="L18" s="132">
        <f t="shared" si="1"/>
        <v>7.0000000000000001E-3</v>
      </c>
      <c r="M18" s="281"/>
      <c r="N18" s="281"/>
    </row>
    <row r="19" spans="1:14" ht="14.85" customHeight="1">
      <c r="A19" s="28">
        <f>+'Exhibit 4.1'!B20</f>
        <v>1998</v>
      </c>
      <c r="B19" s="130">
        <v>0.65840517241379293</v>
      </c>
      <c r="C19" s="20"/>
      <c r="D19" s="20">
        <f t="shared" si="0"/>
        <v>0.34159482758620707</v>
      </c>
      <c r="E19" s="28"/>
      <c r="F19" s="371">
        <v>0</v>
      </c>
      <c r="G19" s="206"/>
      <c r="H19" s="371">
        <v>2.1999999999999999E-2</v>
      </c>
      <c r="I19" s="206"/>
      <c r="J19" s="373">
        <f t="shared" si="2"/>
        <v>8.0000000000000002E-3</v>
      </c>
      <c r="K19" s="28"/>
      <c r="L19" s="132">
        <f t="shared" si="1"/>
        <v>8.0000000000000002E-3</v>
      </c>
      <c r="M19" s="281"/>
      <c r="N19" s="281"/>
    </row>
    <row r="20" spans="1:14" ht="14.85" customHeight="1">
      <c r="A20" s="28">
        <f>+'Exhibit 4.1'!B21</f>
        <v>1999</v>
      </c>
      <c r="B20" s="130">
        <v>0.7276922257720978</v>
      </c>
      <c r="C20" s="20"/>
      <c r="D20" s="20">
        <f t="shared" si="0"/>
        <v>0.2723077742279022</v>
      </c>
      <c r="E20" s="28"/>
      <c r="F20" s="371">
        <v>1.6E-2</v>
      </c>
      <c r="G20" s="206"/>
      <c r="H20" s="371">
        <v>3.3000000000000002E-2</v>
      </c>
      <c r="I20" s="206"/>
      <c r="J20" s="374">
        <f>ROUND((B19+0.077)*1+(D19-0.077)*(H20+1)-1,3)</f>
        <v>8.9999999999999993E-3</v>
      </c>
      <c r="K20" s="100" t="s">
        <v>91</v>
      </c>
      <c r="L20" s="132">
        <f t="shared" si="1"/>
        <v>2.5000000000000001E-2</v>
      </c>
      <c r="M20" s="281"/>
      <c r="N20" s="281"/>
    </row>
    <row r="21" spans="1:14" ht="14.85" customHeight="1">
      <c r="A21" s="28">
        <f>+'Exhibit 4.1'!B22</f>
        <v>2000</v>
      </c>
      <c r="B21" s="130">
        <v>0.71538812301166488</v>
      </c>
      <c r="C21" s="20"/>
      <c r="D21" s="20">
        <f t="shared" si="0"/>
        <v>0.28461187698833512</v>
      </c>
      <c r="E21" s="28"/>
      <c r="F21" s="371">
        <v>5.0000000000000001E-3</v>
      </c>
      <c r="G21" s="206"/>
      <c r="H21" s="371">
        <v>4.2999999999999997E-2</v>
      </c>
      <c r="I21" s="206"/>
      <c r="J21" s="373">
        <f t="shared" si="2"/>
        <v>1.2E-2</v>
      </c>
      <c r="K21" s="100"/>
      <c r="L21" s="132">
        <f t="shared" si="1"/>
        <v>1.7000000000000001E-2</v>
      </c>
      <c r="M21" s="281"/>
      <c r="N21" s="281"/>
    </row>
    <row r="22" spans="1:14" ht="14.85" customHeight="1">
      <c r="A22" s="28">
        <f>+'Exhibit 4.1'!B23</f>
        <v>2001</v>
      </c>
      <c r="B22" s="130">
        <v>0.7223189655172414</v>
      </c>
      <c r="C22" s="20"/>
      <c r="D22" s="20">
        <f t="shared" si="0"/>
        <v>0.2776810344827586</v>
      </c>
      <c r="E22" s="28"/>
      <c r="F22" s="371">
        <v>1.4999999999999999E-2</v>
      </c>
      <c r="G22" s="206"/>
      <c r="H22" s="371">
        <v>4.8000000000000001E-2</v>
      </c>
      <c r="I22" s="206"/>
      <c r="J22" s="373">
        <f t="shared" si="2"/>
        <v>1.4E-2</v>
      </c>
      <c r="K22" s="100"/>
      <c r="L22" s="132">
        <f t="shared" si="1"/>
        <v>2.8999999999999998E-2</v>
      </c>
      <c r="M22" s="281"/>
      <c r="N22" s="281"/>
    </row>
    <row r="23" spans="1:14" ht="14.85" customHeight="1">
      <c r="A23" s="28">
        <f>+'Exhibit 4.1'!B24</f>
        <v>2002</v>
      </c>
      <c r="B23" s="130">
        <v>0.63467338282078467</v>
      </c>
      <c r="C23" s="20"/>
      <c r="D23" s="20">
        <f t="shared" si="0"/>
        <v>0.36532661717921533</v>
      </c>
      <c r="E23" s="28"/>
      <c r="F23" s="371">
        <v>6.0000000000000001E-3</v>
      </c>
      <c r="G23" s="206"/>
      <c r="H23" s="371">
        <v>5.0999999999999997E-2</v>
      </c>
      <c r="I23" s="206"/>
      <c r="J23" s="373">
        <f t="shared" si="2"/>
        <v>1.4E-2</v>
      </c>
      <c r="K23" s="100"/>
      <c r="L23" s="132">
        <f t="shared" si="1"/>
        <v>0.02</v>
      </c>
      <c r="M23" s="281"/>
      <c r="N23" s="281"/>
    </row>
    <row r="24" spans="1:14" ht="14.85" customHeight="1">
      <c r="A24" s="28">
        <f>+'Exhibit 4.1'!B25</f>
        <v>2003</v>
      </c>
      <c r="B24" s="130">
        <v>0.78608515057113193</v>
      </c>
      <c r="C24" s="20"/>
      <c r="D24" s="20">
        <f t="shared" si="0"/>
        <v>0.21391484942886807</v>
      </c>
      <c r="E24" s="28"/>
      <c r="F24" s="371">
        <v>0</v>
      </c>
      <c r="G24" s="206"/>
      <c r="H24" s="371">
        <v>4.8000000000000001E-2</v>
      </c>
      <c r="I24" s="206"/>
      <c r="J24" s="374">
        <f>ROUND((B23+0.076)*1+(D23-0.076)*(H24+1)-1,3)</f>
        <v>1.4E-2</v>
      </c>
      <c r="K24" s="100" t="s">
        <v>92</v>
      </c>
      <c r="L24" s="132">
        <f t="shared" si="1"/>
        <v>1.4E-2</v>
      </c>
      <c r="M24" s="281"/>
      <c r="N24" s="281"/>
    </row>
    <row r="25" spans="1:14" ht="14.85" customHeight="1">
      <c r="A25" s="28">
        <f>+'Exhibit 4.1'!B26</f>
        <v>2004</v>
      </c>
      <c r="B25" s="130">
        <v>0.95247933884297509</v>
      </c>
      <c r="C25" s="20"/>
      <c r="D25" s="20">
        <f t="shared" si="0"/>
        <v>4.7520661157024913E-2</v>
      </c>
      <c r="E25" s="28"/>
      <c r="F25" s="371">
        <v>0</v>
      </c>
      <c r="G25" s="206"/>
      <c r="H25" s="371">
        <v>0.05</v>
      </c>
      <c r="I25" s="206"/>
      <c r="J25" s="374">
        <f>ROUND((B24+0.172)*1+(D24-0.172)*(0+1)-1,3)</f>
        <v>0</v>
      </c>
      <c r="K25" s="100" t="s">
        <v>93</v>
      </c>
      <c r="L25" s="132">
        <f t="shared" si="1"/>
        <v>0</v>
      </c>
      <c r="M25" s="281"/>
      <c r="N25" s="281"/>
    </row>
    <row r="26" spans="1:14" ht="14.85" customHeight="1">
      <c r="A26" s="28">
        <f>+'Exhibit 4.1'!B27</f>
        <v>2005</v>
      </c>
      <c r="B26" s="130">
        <v>0.9362186788154897</v>
      </c>
      <c r="C26" s="20"/>
      <c r="D26" s="20">
        <f t="shared" si="0"/>
        <v>6.3781321184510298E-2</v>
      </c>
      <c r="E26" s="28"/>
      <c r="F26" s="371">
        <v>0</v>
      </c>
      <c r="G26" s="206"/>
      <c r="H26" s="371">
        <v>4.8000000000000001E-2</v>
      </c>
      <c r="I26" s="206"/>
      <c r="J26" s="374">
        <f>ROUND(B25*1+D25*(0+1)-1,3)</f>
        <v>0</v>
      </c>
      <c r="K26" s="100" t="s">
        <v>94</v>
      </c>
      <c r="L26" s="132">
        <f t="shared" si="1"/>
        <v>0</v>
      </c>
      <c r="M26" s="281"/>
      <c r="N26" s="281"/>
    </row>
    <row r="27" spans="1:14" ht="14.85" customHeight="1">
      <c r="A27" s="28">
        <f>+'Exhibit 4.1'!B28</f>
        <v>2006</v>
      </c>
      <c r="B27" s="130">
        <v>0.92574850299401201</v>
      </c>
      <c r="C27" s="20"/>
      <c r="D27" s="20">
        <f t="shared" si="0"/>
        <v>7.4251497005987988E-2</v>
      </c>
      <c r="E27" s="28"/>
      <c r="F27" s="371">
        <v>0</v>
      </c>
      <c r="G27" s="206"/>
      <c r="H27" s="371">
        <v>4.1000000000000002E-2</v>
      </c>
      <c r="I27" s="206"/>
      <c r="J27" s="373">
        <f t="shared" ref="J27:J47" si="3">ROUND(B26*1+D26*(H27+1)-1,3)</f>
        <v>3.0000000000000001E-3</v>
      </c>
      <c r="K27" s="28"/>
      <c r="L27" s="132">
        <f t="shared" si="1"/>
        <v>3.0000000000000001E-3</v>
      </c>
      <c r="M27" s="281"/>
      <c r="N27" s="281"/>
    </row>
    <row r="28" spans="1:14" ht="14.85" customHeight="1">
      <c r="A28" s="28">
        <f>+'Exhibit 4.1'!B29</f>
        <v>2007</v>
      </c>
      <c r="B28" s="130">
        <v>0.9226260257913248</v>
      </c>
      <c r="C28" s="20"/>
      <c r="D28" s="20">
        <f t="shared" si="0"/>
        <v>7.73739742086752E-2</v>
      </c>
      <c r="E28" s="28"/>
      <c r="F28" s="371">
        <v>1.4E-2</v>
      </c>
      <c r="G28" s="206"/>
      <c r="H28" s="371">
        <v>5.2999999999999999E-2</v>
      </c>
      <c r="I28" s="206"/>
      <c r="J28" s="373">
        <f t="shared" si="3"/>
        <v>4.0000000000000001E-3</v>
      </c>
      <c r="K28" s="28"/>
      <c r="L28" s="132">
        <f t="shared" si="1"/>
        <v>1.8000000000000002E-2</v>
      </c>
      <c r="M28" s="281"/>
      <c r="N28" s="281"/>
    </row>
    <row r="29" spans="1:14" ht="14.85" customHeight="1">
      <c r="A29" s="28">
        <f>+'Exhibit 4.1'!B30</f>
        <v>2008</v>
      </c>
      <c r="B29" s="130">
        <v>0.8956109134045076</v>
      </c>
      <c r="C29" s="20"/>
      <c r="D29" s="20">
        <f t="shared" si="0"/>
        <v>0.1043890865954924</v>
      </c>
      <c r="E29" s="28"/>
      <c r="F29" s="371">
        <v>-1E-3</v>
      </c>
      <c r="G29" s="206"/>
      <c r="H29" s="371">
        <v>4.2000000000000003E-2</v>
      </c>
      <c r="I29" s="206"/>
      <c r="J29" s="373">
        <f t="shared" si="3"/>
        <v>3.0000000000000001E-3</v>
      </c>
      <c r="K29" s="28"/>
      <c r="L29" s="132">
        <f t="shared" si="1"/>
        <v>2E-3</v>
      </c>
      <c r="M29" s="281"/>
      <c r="N29" s="281"/>
    </row>
    <row r="30" spans="1:14" ht="14.85" customHeight="1">
      <c r="A30" s="28">
        <f>+'Exhibit 4.1'!B31</f>
        <v>2009</v>
      </c>
      <c r="B30" s="130">
        <v>0.89419354838709675</v>
      </c>
      <c r="C30" s="20"/>
      <c r="D30" s="20">
        <f t="shared" si="0"/>
        <v>0.10580645161290325</v>
      </c>
      <c r="E30" s="28"/>
      <c r="F30" s="371">
        <v>0</v>
      </c>
      <c r="G30" s="206"/>
      <c r="H30" s="371">
        <v>3.5999999999999997E-2</v>
      </c>
      <c r="I30" s="206"/>
      <c r="J30" s="373">
        <f t="shared" si="3"/>
        <v>4.0000000000000001E-3</v>
      </c>
      <c r="K30" s="28"/>
      <c r="L30" s="132">
        <f t="shared" si="1"/>
        <v>4.0000000000000001E-3</v>
      </c>
      <c r="M30" s="281"/>
      <c r="N30" s="281"/>
    </row>
    <row r="31" spans="1:14" ht="14.85" customHeight="1">
      <c r="A31" s="28">
        <f>+'Exhibit 4.1'!B32</f>
        <v>2010</v>
      </c>
      <c r="B31" s="130">
        <v>0.89487179487179502</v>
      </c>
      <c r="C31" s="20"/>
      <c r="D31" s="20">
        <f t="shared" si="0"/>
        <v>0.10512820512820498</v>
      </c>
      <c r="E31" s="28"/>
      <c r="F31" s="371">
        <v>0</v>
      </c>
      <c r="G31" s="206"/>
      <c r="H31" s="371">
        <v>2.8000000000000001E-2</v>
      </c>
      <c r="I31" s="206"/>
      <c r="J31" s="373">
        <f t="shared" si="3"/>
        <v>3.0000000000000001E-3</v>
      </c>
      <c r="K31" s="28"/>
      <c r="L31" s="132">
        <f t="shared" si="1"/>
        <v>3.0000000000000001E-3</v>
      </c>
      <c r="M31" s="281"/>
      <c r="N31" s="281"/>
    </row>
    <row r="32" spans="1:14" ht="14.85" customHeight="1">
      <c r="A32" s="28">
        <f>+'Exhibit 4.1'!B33</f>
        <v>2011</v>
      </c>
      <c r="B32" s="130">
        <v>0.96938775510204089</v>
      </c>
      <c r="C32" s="20"/>
      <c r="D32" s="20">
        <f t="shared" si="0"/>
        <v>3.0612244897959107E-2</v>
      </c>
      <c r="E32" s="28"/>
      <c r="F32" s="371">
        <v>0</v>
      </c>
      <c r="G32" s="206"/>
      <c r="H32" s="371">
        <v>3.2000000000000001E-2</v>
      </c>
      <c r="I32" s="206"/>
      <c r="J32" s="373">
        <f t="shared" si="3"/>
        <v>3.0000000000000001E-3</v>
      </c>
      <c r="K32" s="28"/>
      <c r="L32" s="132">
        <f t="shared" si="1"/>
        <v>3.0000000000000001E-3</v>
      </c>
      <c r="M32" s="281"/>
      <c r="N32" s="281"/>
    </row>
    <row r="33" spans="1:14" ht="14.85" customHeight="1">
      <c r="A33" s="28">
        <f>+'Exhibit 4.1'!B34</f>
        <v>2012</v>
      </c>
      <c r="B33" s="130">
        <v>0.96938775510204089</v>
      </c>
      <c r="C33" s="20"/>
      <c r="D33" s="20">
        <f t="shared" si="0"/>
        <v>3.0612244897959107E-2</v>
      </c>
      <c r="E33" s="28"/>
      <c r="F33" s="371">
        <v>0</v>
      </c>
      <c r="G33" s="206"/>
      <c r="H33" s="371">
        <v>2.7E-2</v>
      </c>
      <c r="I33" s="206"/>
      <c r="J33" s="373">
        <f t="shared" si="3"/>
        <v>1E-3</v>
      </c>
      <c r="K33" s="28"/>
      <c r="L33" s="132">
        <f t="shared" ref="L33" si="4">F33+J33</f>
        <v>1E-3</v>
      </c>
      <c r="M33" s="281"/>
      <c r="N33" s="281"/>
    </row>
    <row r="34" spans="1:14" ht="14.85" customHeight="1">
      <c r="A34" s="28">
        <f>+'Exhibit 4.1'!B35</f>
        <v>2013</v>
      </c>
      <c r="B34" s="130">
        <v>0.93790826172885799</v>
      </c>
      <c r="C34" s="20"/>
      <c r="D34" s="20">
        <f t="shared" si="0"/>
        <v>6.2091738271142005E-2</v>
      </c>
      <c r="E34" s="28"/>
      <c r="F34" s="371">
        <v>0</v>
      </c>
      <c r="G34" s="206"/>
      <c r="H34" s="371">
        <v>2.5999999999999999E-2</v>
      </c>
      <c r="I34" s="206"/>
      <c r="J34" s="373">
        <f t="shared" si="3"/>
        <v>1E-3</v>
      </c>
      <c r="K34" s="28"/>
      <c r="L34" s="291">
        <f>F42+$J$34</f>
        <v>4.9399999999999999E-2</v>
      </c>
      <c r="M34" s="292" t="s">
        <v>68</v>
      </c>
      <c r="N34" s="281"/>
    </row>
    <row r="35" spans="1:14" ht="14.85" customHeight="1">
      <c r="A35" s="28">
        <f>+'Exhibit 4.1'!B36</f>
        <v>2014</v>
      </c>
      <c r="B35" s="130">
        <v>0.92836241759627802</v>
      </c>
      <c r="C35" s="20"/>
      <c r="D35" s="20">
        <f t="shared" si="0"/>
        <v>7.1637582403721978E-2</v>
      </c>
      <c r="E35" s="28"/>
      <c r="F35" s="371">
        <v>0</v>
      </c>
      <c r="G35" s="206"/>
      <c r="H35" s="371">
        <v>4.2000000000000003E-2</v>
      </c>
      <c r="I35" s="206"/>
      <c r="J35" s="373">
        <f t="shared" si="3"/>
        <v>3.0000000000000001E-3</v>
      </c>
      <c r="K35" s="28"/>
      <c r="L35" s="132">
        <f t="shared" si="1"/>
        <v>3.0000000000000001E-3</v>
      </c>
      <c r="M35" s="281"/>
      <c r="N35" s="281"/>
    </row>
    <row r="36" spans="1:14" ht="14.85" customHeight="1">
      <c r="A36" s="28">
        <f>+'Exhibit 4.1'!B37</f>
        <v>2015</v>
      </c>
      <c r="B36" s="130">
        <v>0.93323210571871174</v>
      </c>
      <c r="C36" s="20"/>
      <c r="D36" s="20">
        <f t="shared" si="0"/>
        <v>6.6767894281288265E-2</v>
      </c>
      <c r="E36" s="28"/>
      <c r="F36" s="371">
        <v>0</v>
      </c>
      <c r="G36" s="206"/>
      <c r="H36" s="371">
        <v>3.1E-2</v>
      </c>
      <c r="I36" s="206"/>
      <c r="J36" s="373">
        <f t="shared" si="3"/>
        <v>2E-3</v>
      </c>
      <c r="K36" s="132"/>
      <c r="L36" s="132">
        <f t="shared" si="1"/>
        <v>2E-3</v>
      </c>
      <c r="M36" s="281"/>
      <c r="N36" s="281"/>
    </row>
    <row r="37" spans="1:14" ht="14.85" customHeight="1">
      <c r="A37" s="28">
        <f>+'Exhibit 4.1'!B38</f>
        <v>2016</v>
      </c>
      <c r="B37" s="130">
        <v>0.91806909920365432</v>
      </c>
      <c r="C37" s="20"/>
      <c r="D37" s="20">
        <f t="shared" si="0"/>
        <v>8.1930900796345685E-2</v>
      </c>
      <c r="E37" s="28"/>
      <c r="F37" s="371">
        <v>0</v>
      </c>
      <c r="G37" s="206"/>
      <c r="H37" s="371">
        <v>5.3999999999999999E-2</v>
      </c>
      <c r="I37" s="206"/>
      <c r="J37" s="373">
        <f t="shared" si="3"/>
        <v>4.0000000000000001E-3</v>
      </c>
      <c r="K37" s="132"/>
      <c r="L37" s="132">
        <f t="shared" si="1"/>
        <v>4.0000000000000001E-3</v>
      </c>
      <c r="M37" s="281"/>
      <c r="N37" s="281"/>
    </row>
    <row r="38" spans="1:14" ht="14.85" customHeight="1">
      <c r="A38" s="28">
        <f>+'Exhibit 4.1'!B39</f>
        <v>2017</v>
      </c>
      <c r="B38" s="130">
        <v>0.90608076472704557</v>
      </c>
      <c r="C38" s="20"/>
      <c r="D38" s="20">
        <f t="shared" si="0"/>
        <v>9.3919235272954427E-2</v>
      </c>
      <c r="E38" s="28"/>
      <c r="F38" s="371">
        <v>0</v>
      </c>
      <c r="G38" s="206"/>
      <c r="H38" s="371">
        <v>2.1999999999999999E-2</v>
      </c>
      <c r="I38" s="206"/>
      <c r="J38" s="373">
        <f t="shared" si="3"/>
        <v>2E-3</v>
      </c>
      <c r="K38" s="28"/>
      <c r="L38" s="132">
        <f>F38+J38</f>
        <v>2E-3</v>
      </c>
      <c r="M38" s="281"/>
      <c r="N38" s="281"/>
    </row>
    <row r="39" spans="1:14" ht="14.85" customHeight="1">
      <c r="A39" s="28">
        <f>+'Exhibit 4.1'!B40</f>
        <v>2018</v>
      </c>
      <c r="B39" s="130">
        <v>0.8867222469733721</v>
      </c>
      <c r="C39" s="20"/>
      <c r="D39" s="20">
        <f t="shared" si="0"/>
        <v>0.1132777530266279</v>
      </c>
      <c r="E39" s="28"/>
      <c r="F39" s="371">
        <v>0</v>
      </c>
      <c r="G39" s="206"/>
      <c r="H39" s="371">
        <v>2.5000000000000001E-2</v>
      </c>
      <c r="I39" s="206"/>
      <c r="J39" s="373">
        <f t="shared" si="3"/>
        <v>2E-3</v>
      </c>
      <c r="K39" s="28"/>
      <c r="L39" s="132">
        <f>F39+J39</f>
        <v>2E-3</v>
      </c>
      <c r="M39" s="281"/>
      <c r="N39" s="281"/>
    </row>
    <row r="40" spans="1:14" s="199" customFormat="1" ht="14.85" customHeight="1">
      <c r="A40" s="28">
        <f>+'Exhibit 4.1'!B41</f>
        <v>2019</v>
      </c>
      <c r="B40" s="130">
        <v>0.87200451680484514</v>
      </c>
      <c r="C40" s="20"/>
      <c r="D40" s="20">
        <f t="shared" ref="D40" si="5">1-B40</f>
        <v>0.12799548319515486</v>
      </c>
      <c r="E40" s="28"/>
      <c r="F40" s="371">
        <v>0</v>
      </c>
      <c r="G40" s="206"/>
      <c r="H40" s="371">
        <v>3.5999999999999997E-2</v>
      </c>
      <c r="I40" s="206"/>
      <c r="J40" s="373">
        <f t="shared" si="3"/>
        <v>4.0000000000000001E-3</v>
      </c>
      <c r="K40" s="28"/>
      <c r="L40" s="132">
        <f>F40+J40</f>
        <v>4.0000000000000001E-3</v>
      </c>
      <c r="M40" s="281"/>
      <c r="N40" s="281"/>
    </row>
    <row r="41" spans="1:14" s="107" customFormat="1" ht="14.85" customHeight="1">
      <c r="A41" s="28">
        <f>+'Exhibit 4.1'!B42</f>
        <v>2020</v>
      </c>
      <c r="B41" s="130">
        <v>0.86584208220977077</v>
      </c>
      <c r="C41" s="20"/>
      <c r="D41" s="20">
        <f t="shared" si="0"/>
        <v>0.13415791779022923</v>
      </c>
      <c r="E41" s="28"/>
      <c r="F41" s="371">
        <v>0</v>
      </c>
      <c r="G41" s="206"/>
      <c r="H41" s="371">
        <v>2.9000000000000001E-2</v>
      </c>
      <c r="I41" s="206"/>
      <c r="J41" s="373">
        <f t="shared" si="3"/>
        <v>4.0000000000000001E-3</v>
      </c>
      <c r="K41" s="28"/>
      <c r="L41" s="132">
        <f>F41+J41</f>
        <v>4.0000000000000001E-3</v>
      </c>
      <c r="M41" s="281"/>
      <c r="N41" s="281"/>
    </row>
    <row r="42" spans="1:14" ht="14.85" customHeight="1">
      <c r="A42" s="28">
        <f>+'Exhibit 4.1'!B43</f>
        <v>2021</v>
      </c>
      <c r="B42" s="130">
        <v>0.8650485242062721</v>
      </c>
      <c r="C42" s="20"/>
      <c r="D42" s="20">
        <f t="shared" si="0"/>
        <v>0.1349514757937279</v>
      </c>
      <c r="E42" s="28"/>
      <c r="F42" s="371">
        <v>4.8399999999999999E-2</v>
      </c>
      <c r="G42" s="206"/>
      <c r="H42" s="371">
        <v>1.2999999999999999E-2</v>
      </c>
      <c r="I42" s="206"/>
      <c r="J42" s="373">
        <f t="shared" si="3"/>
        <v>2E-3</v>
      </c>
      <c r="K42" s="28"/>
      <c r="L42" s="291">
        <f>J42</f>
        <v>2E-3</v>
      </c>
      <c r="M42" s="292" t="s">
        <v>68</v>
      </c>
      <c r="N42" s="281"/>
    </row>
    <row r="43" spans="1:14" s="199" customFormat="1" ht="14.85" customHeight="1">
      <c r="A43" s="28">
        <f>+'Exhibit 4.1'!B44</f>
        <v>2022</v>
      </c>
      <c r="B43" s="130">
        <v>0.85946258527841746</v>
      </c>
      <c r="C43" s="20"/>
      <c r="D43" s="20">
        <f t="shared" si="0"/>
        <v>0.14053741472158254</v>
      </c>
      <c r="E43" s="28"/>
      <c r="F43" s="371">
        <v>0</v>
      </c>
      <c r="G43" s="206"/>
      <c r="H43" s="371">
        <v>5.7000000000000002E-2</v>
      </c>
      <c r="I43" s="206"/>
      <c r="J43" s="373">
        <f t="shared" si="3"/>
        <v>8.0000000000000002E-3</v>
      </c>
      <c r="K43" s="28"/>
      <c r="L43" s="132">
        <f t="shared" ref="L43:L46" si="6">F43+J43</f>
        <v>8.0000000000000002E-3</v>
      </c>
      <c r="M43" s="292"/>
      <c r="N43" s="323"/>
    </row>
    <row r="44" spans="1:14" s="147" customFormat="1" ht="14.85" customHeight="1">
      <c r="A44" s="28">
        <f>+'Exhibit 4.1'!B45</f>
        <v>2023</v>
      </c>
      <c r="B44" s="130">
        <v>0.85946258527841746</v>
      </c>
      <c r="C44" s="20"/>
      <c r="D44" s="20">
        <f t="shared" si="0"/>
        <v>0.14053741472158254</v>
      </c>
      <c r="E44" s="28"/>
      <c r="F44" s="371">
        <v>0</v>
      </c>
      <c r="G44" s="206"/>
      <c r="H44" s="371">
        <v>1.6E-2</v>
      </c>
      <c r="I44" s="206"/>
      <c r="J44" s="373">
        <f t="shared" si="3"/>
        <v>2E-3</v>
      </c>
      <c r="K44" s="28"/>
      <c r="L44" s="132">
        <f t="shared" si="6"/>
        <v>2E-3</v>
      </c>
      <c r="M44" s="281"/>
      <c r="N44" s="281"/>
    </row>
    <row r="45" spans="1:14" s="199" customFormat="1" ht="14.85" customHeight="1">
      <c r="A45" s="28">
        <f>+'Exhibit 4.1'!B46</f>
        <v>2024</v>
      </c>
      <c r="B45" s="130">
        <v>0.85946258527841746</v>
      </c>
      <c r="C45" s="20"/>
      <c r="D45" s="20">
        <f t="shared" si="0"/>
        <v>0.14053741472158254</v>
      </c>
      <c r="E45" s="28"/>
      <c r="F45" s="371">
        <v>0</v>
      </c>
      <c r="G45" s="206"/>
      <c r="H45" s="371">
        <v>3.1E-2</v>
      </c>
      <c r="I45" s="206"/>
      <c r="J45" s="373">
        <f t="shared" si="3"/>
        <v>4.0000000000000001E-3</v>
      </c>
      <c r="K45" s="28"/>
      <c r="L45" s="132">
        <f t="shared" si="6"/>
        <v>4.0000000000000001E-3</v>
      </c>
      <c r="M45" s="323"/>
      <c r="N45" s="323"/>
    </row>
    <row r="46" spans="1:14" s="179" customFormat="1" ht="14.85" customHeight="1">
      <c r="A46" s="28">
        <f>+'Exhibit 4.1'!B47</f>
        <v>2025</v>
      </c>
      <c r="B46" s="130">
        <v>0.85946258527841746</v>
      </c>
      <c r="C46" s="20"/>
      <c r="D46" s="20">
        <f t="shared" si="0"/>
        <v>0.14053741472158254</v>
      </c>
      <c r="E46" s="28"/>
      <c r="F46" s="371">
        <v>0</v>
      </c>
      <c r="G46" s="206"/>
      <c r="H46" s="371">
        <v>4.1000000000000002E-2</v>
      </c>
      <c r="I46" s="206"/>
      <c r="J46" s="373">
        <f t="shared" si="3"/>
        <v>6.0000000000000001E-3</v>
      </c>
      <c r="K46" s="28"/>
      <c r="L46" s="132">
        <f t="shared" si="6"/>
        <v>6.0000000000000001E-3</v>
      </c>
      <c r="M46" s="281"/>
      <c r="N46" s="281"/>
    </row>
    <row r="47" spans="1:14" s="110" customFormat="1" ht="14.85" customHeight="1">
      <c r="A47" s="41" t="str">
        <f>+'Exhibit 4.1'!B48</f>
        <v>9/1/2025</v>
      </c>
      <c r="B47" s="130">
        <v>0.85946258527841746</v>
      </c>
      <c r="C47" s="20"/>
      <c r="D47" s="20">
        <f t="shared" ref="D47" si="7">1-B47</f>
        <v>0.14053741472158254</v>
      </c>
      <c r="E47" s="28"/>
      <c r="F47" s="371">
        <v>0</v>
      </c>
      <c r="G47" s="372" t="s">
        <v>472</v>
      </c>
      <c r="H47" s="371">
        <v>6.8805535412015395E-3</v>
      </c>
      <c r="I47" s="372" t="s">
        <v>473</v>
      </c>
      <c r="J47" s="373">
        <f t="shared" si="3"/>
        <v>1E-3</v>
      </c>
      <c r="K47" s="28"/>
      <c r="L47" s="132">
        <f>F47+J47</f>
        <v>1E-3</v>
      </c>
      <c r="M47" s="281"/>
      <c r="N47" s="281"/>
    </row>
    <row r="48" spans="1:14" ht="26.1" customHeight="1">
      <c r="A48" s="41"/>
      <c r="B48" s="40"/>
      <c r="C48" s="40"/>
      <c r="D48" s="20"/>
      <c r="E48" s="281"/>
      <c r="F48" s="133"/>
      <c r="G48" s="281"/>
      <c r="H48" s="281"/>
      <c r="I48" s="281"/>
      <c r="J48" s="47"/>
      <c r="K48" s="281"/>
      <c r="L48" s="47"/>
      <c r="M48" s="281"/>
      <c r="N48" s="281"/>
    </row>
    <row r="49" spans="1:14" ht="24.95" customHeight="1">
      <c r="A49" s="31" t="s">
        <v>22</v>
      </c>
      <c r="B49" s="436" t="s">
        <v>239</v>
      </c>
      <c r="C49" s="436"/>
      <c r="D49" s="436"/>
      <c r="E49" s="436"/>
      <c r="F49" s="436"/>
      <c r="G49" s="436"/>
      <c r="H49" s="436"/>
      <c r="I49" s="436"/>
      <c r="J49" s="436"/>
      <c r="K49" s="436"/>
      <c r="L49" s="436"/>
      <c r="M49" s="436"/>
      <c r="N49" s="281"/>
    </row>
    <row r="50" spans="1:14" ht="38.1" customHeight="1">
      <c r="A50" s="31" t="s">
        <v>26</v>
      </c>
      <c r="B50" s="436" t="s">
        <v>331</v>
      </c>
      <c r="C50" s="436"/>
      <c r="D50" s="436"/>
      <c r="E50" s="436"/>
      <c r="F50" s="436"/>
      <c r="G50" s="436"/>
      <c r="H50" s="436"/>
      <c r="I50" s="436"/>
      <c r="J50" s="436"/>
      <c r="K50" s="436"/>
      <c r="L50" s="436"/>
      <c r="M50" s="436"/>
      <c r="N50" s="281"/>
    </row>
    <row r="51" spans="1:14" ht="12.75" customHeight="1">
      <c r="A51" s="31" t="s">
        <v>34</v>
      </c>
      <c r="B51" s="131" t="s">
        <v>95</v>
      </c>
      <c r="C51" s="131"/>
      <c r="D51" s="131"/>
      <c r="E51" s="131"/>
      <c r="F51" s="131"/>
      <c r="G51" s="131"/>
      <c r="H51" s="131"/>
      <c r="I51" s="131"/>
      <c r="J51" s="131"/>
      <c r="K51" s="131"/>
      <c r="L51" s="131"/>
      <c r="M51" s="281"/>
      <c r="N51" s="281"/>
    </row>
    <row r="52" spans="1:14" ht="75.95" customHeight="1">
      <c r="A52" s="342" t="s">
        <v>49</v>
      </c>
      <c r="B52" s="436" t="s">
        <v>96</v>
      </c>
      <c r="C52" s="436"/>
      <c r="D52" s="436"/>
      <c r="E52" s="436"/>
      <c r="F52" s="436"/>
      <c r="G52" s="436"/>
      <c r="H52" s="436"/>
      <c r="I52" s="436"/>
      <c r="J52" s="436"/>
      <c r="K52" s="436"/>
      <c r="L52" s="436"/>
      <c r="M52" s="436"/>
      <c r="N52" s="281"/>
    </row>
    <row r="53" spans="1:14" ht="12.75" customHeight="1">
      <c r="A53" s="342" t="s">
        <v>36</v>
      </c>
      <c r="B53" s="38" t="s">
        <v>97</v>
      </c>
      <c r="C53" s="38"/>
      <c r="D53" s="38"/>
      <c r="E53" s="38"/>
      <c r="F53" s="38"/>
      <c r="G53" s="38"/>
      <c r="H53" s="38"/>
      <c r="I53" s="38"/>
      <c r="J53" s="38"/>
      <c r="K53" s="38"/>
      <c r="L53" s="38"/>
      <c r="M53" s="281"/>
      <c r="N53" s="281"/>
    </row>
    <row r="54" spans="1:14" ht="24.95" customHeight="1">
      <c r="A54" s="342" t="s">
        <v>68</v>
      </c>
      <c r="B54" s="440" t="s">
        <v>327</v>
      </c>
      <c r="C54" s="440"/>
      <c r="D54" s="440"/>
      <c r="E54" s="440"/>
      <c r="F54" s="440"/>
      <c r="G54" s="440"/>
      <c r="H54" s="440"/>
      <c r="I54" s="440"/>
      <c r="J54" s="440"/>
      <c r="K54" s="440"/>
      <c r="L54" s="440"/>
      <c r="M54" s="440"/>
      <c r="N54" s="281"/>
    </row>
  </sheetData>
  <mergeCells count="4">
    <mergeCell ref="B54:M54"/>
    <mergeCell ref="B49:M49"/>
    <mergeCell ref="B50:M50"/>
    <mergeCell ref="B52:M52"/>
  </mergeCells>
  <pageMargins left="0.5" right="0.5" top="0.75" bottom="0.75" header="0.33" footer="0.33"/>
  <pageSetup scale="75" orientation="portrait" blackAndWhite="1" r:id="rId1"/>
  <headerFooter scaleWithDoc="0">
    <oddHeader>&amp;R&amp;"Arial,Regular"&amp;10Exhibit 4.2</oddHeader>
  </headerFooter>
  <rowBreaks count="1" manualBreakCount="1">
    <brk id="54" max="12" man="1"/>
  </rowBreaks>
  <ignoredErrors>
    <ignoredError sqref="B3:L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H51"/>
  <sheetViews>
    <sheetView zoomScaleNormal="100" zoomScaleSheetLayoutView="100" workbookViewId="0">
      <selection sqref="A1:H1"/>
    </sheetView>
  </sheetViews>
  <sheetFormatPr defaultColWidth="9.140625" defaultRowHeight="12.75"/>
  <cols>
    <col min="1" max="1" width="8.140625" style="79" customWidth="1"/>
    <col min="2" max="2" width="11.5703125" style="79" customWidth="1"/>
    <col min="3" max="3" width="9.140625" style="33" customWidth="1"/>
    <col min="4" max="4" width="20.140625" style="33" customWidth="1"/>
    <col min="5" max="5" width="6.85546875" style="33" customWidth="1"/>
    <col min="6" max="6" width="18.42578125" style="79" customWidth="1"/>
    <col min="7" max="7" width="7.85546875" style="33" customWidth="1"/>
    <col min="8" max="8" width="7.140625" style="79" customWidth="1"/>
    <col min="9" max="16384" width="9.140625" style="79"/>
  </cols>
  <sheetData>
    <row r="1" spans="1:8">
      <c r="A1" s="434" t="s">
        <v>98</v>
      </c>
      <c r="B1" s="434"/>
      <c r="C1" s="434"/>
      <c r="D1" s="434"/>
      <c r="E1" s="434"/>
      <c r="F1" s="434"/>
      <c r="G1" s="434"/>
      <c r="H1" s="434"/>
    </row>
    <row r="2" spans="1:8">
      <c r="A2" s="28"/>
      <c r="B2" s="28"/>
      <c r="C2" s="29"/>
      <c r="D2" s="29"/>
      <c r="E2" s="29"/>
      <c r="F2" s="28"/>
      <c r="H2" s="28"/>
    </row>
    <row r="3" spans="1:8">
      <c r="A3" s="28"/>
      <c r="B3" s="28"/>
      <c r="C3" s="29" t="s">
        <v>38</v>
      </c>
      <c r="D3" s="29"/>
      <c r="E3" s="29" t="s">
        <v>39</v>
      </c>
      <c r="F3" s="28"/>
      <c r="G3" s="119" t="s">
        <v>40</v>
      </c>
      <c r="H3" s="28"/>
    </row>
    <row r="4" spans="1:8">
      <c r="A4" s="28"/>
      <c r="B4" s="28"/>
      <c r="C4" s="28" t="s">
        <v>99</v>
      </c>
      <c r="D4" s="28"/>
      <c r="E4" s="28" t="s">
        <v>100</v>
      </c>
      <c r="F4" s="28"/>
      <c r="G4" s="28" t="s">
        <v>101</v>
      </c>
      <c r="H4" s="28"/>
    </row>
    <row r="5" spans="1:8">
      <c r="A5" s="28" t="s">
        <v>46</v>
      </c>
      <c r="B5" s="28"/>
      <c r="C5" s="28" t="s">
        <v>102</v>
      </c>
      <c r="D5" s="28"/>
      <c r="E5" s="28" t="s">
        <v>103</v>
      </c>
      <c r="F5" s="28"/>
      <c r="G5" s="28" t="s">
        <v>104</v>
      </c>
      <c r="H5" s="28"/>
    </row>
    <row r="6" spans="1:8">
      <c r="A6" s="30" t="s">
        <v>8</v>
      </c>
      <c r="B6" s="30"/>
      <c r="C6" s="30" t="s">
        <v>266</v>
      </c>
      <c r="D6" s="30"/>
      <c r="E6" s="30" t="s">
        <v>267</v>
      </c>
      <c r="F6" s="30"/>
      <c r="G6" s="30" t="s">
        <v>268</v>
      </c>
      <c r="H6" s="30"/>
    </row>
    <row r="7" spans="1:8">
      <c r="A7" s="28"/>
      <c r="B7" s="33"/>
      <c r="F7" s="33"/>
      <c r="H7" s="33"/>
    </row>
    <row r="8" spans="1:8">
      <c r="A8" s="28">
        <f>+'Exhibit 4.1'!B9</f>
        <v>1987</v>
      </c>
      <c r="B8" s="33"/>
      <c r="C8" s="138">
        <v>0</v>
      </c>
      <c r="E8" s="138">
        <v>0</v>
      </c>
      <c r="F8" s="33"/>
      <c r="G8" s="47">
        <f t="shared" ref="G8:G39" si="0">(C8+1)*(1+E8)-1</f>
        <v>0</v>
      </c>
      <c r="H8" s="33"/>
    </row>
    <row r="9" spans="1:8">
      <c r="A9" s="28">
        <f>+'Exhibit 4.1'!B10</f>
        <v>1988</v>
      </c>
      <c r="B9" s="33"/>
      <c r="C9" s="138">
        <v>0</v>
      </c>
      <c r="E9" s="138">
        <v>0</v>
      </c>
      <c r="F9" s="33"/>
      <c r="G9" s="47">
        <f t="shared" si="0"/>
        <v>0</v>
      </c>
      <c r="H9" s="33"/>
    </row>
    <row r="10" spans="1:8">
      <c r="A10" s="28">
        <f>+'Exhibit 4.1'!B11</f>
        <v>1989</v>
      </c>
      <c r="B10" s="33"/>
      <c r="C10" s="138">
        <v>0</v>
      </c>
      <c r="E10" s="138">
        <v>0</v>
      </c>
      <c r="F10" s="33"/>
      <c r="G10" s="47">
        <f t="shared" si="0"/>
        <v>0</v>
      </c>
      <c r="H10" s="33"/>
    </row>
    <row r="11" spans="1:8">
      <c r="A11" s="28">
        <f>+'Exhibit 4.1'!B12</f>
        <v>1990</v>
      </c>
      <c r="B11" s="33"/>
      <c r="C11" s="138">
        <v>-7.0000000000000001E-3</v>
      </c>
      <c r="E11" s="138">
        <v>0.19900000000000001</v>
      </c>
      <c r="F11" s="33"/>
      <c r="G11" s="47">
        <f t="shared" si="0"/>
        <v>0.19060699999999997</v>
      </c>
      <c r="H11" s="33"/>
    </row>
    <row r="12" spans="1:8">
      <c r="A12" s="28">
        <f>+'Exhibit 4.1'!B13</f>
        <v>1991</v>
      </c>
      <c r="B12" s="33"/>
      <c r="C12" s="138">
        <v>-1.6E-2</v>
      </c>
      <c r="E12" s="138">
        <v>0.14699999999999999</v>
      </c>
      <c r="F12" s="33"/>
      <c r="G12" s="47">
        <f t="shared" si="0"/>
        <v>0.1286480000000001</v>
      </c>
      <c r="H12" s="33"/>
    </row>
    <row r="13" spans="1:8">
      <c r="A13" s="28">
        <f>+'Exhibit 4.1'!B14</f>
        <v>1992</v>
      </c>
      <c r="B13" s="33"/>
      <c r="C13" s="138">
        <v>5.0000000000000001E-3</v>
      </c>
      <c r="E13" s="138">
        <v>-8.4000000000000005E-2</v>
      </c>
      <c r="F13" s="33"/>
      <c r="G13" s="47">
        <f t="shared" si="0"/>
        <v>-7.9420000000000046E-2</v>
      </c>
      <c r="H13" s="33"/>
    </row>
    <row r="14" spans="1:8">
      <c r="A14" s="28">
        <f>+'Exhibit 4.1'!B15</f>
        <v>1993</v>
      </c>
      <c r="B14" s="33"/>
      <c r="C14" s="138">
        <v>-7.0000000000000001E-3</v>
      </c>
      <c r="E14" s="138">
        <v>-0.18099999999999999</v>
      </c>
      <c r="F14" s="33"/>
      <c r="G14" s="47">
        <f t="shared" si="0"/>
        <v>-0.18673300000000004</v>
      </c>
      <c r="H14" s="33"/>
    </row>
    <row r="15" spans="1:8">
      <c r="A15" s="28">
        <f>+'Exhibit 4.1'!B16</f>
        <v>1994</v>
      </c>
      <c r="B15" s="33"/>
      <c r="C15" s="138">
        <v>-2.5999999999999999E-2</v>
      </c>
      <c r="E15" s="138">
        <v>3.0000000000000001E-3</v>
      </c>
      <c r="F15" s="33"/>
      <c r="G15" s="47">
        <f t="shared" si="0"/>
        <v>-2.3078000000000154E-2</v>
      </c>
      <c r="H15" s="33"/>
    </row>
    <row r="16" spans="1:8">
      <c r="A16" s="28">
        <f>+'Exhibit 4.1'!B17</f>
        <v>1995</v>
      </c>
      <c r="B16" s="33"/>
      <c r="C16" s="138">
        <v>0</v>
      </c>
      <c r="E16" s="138">
        <v>5.0000000000000001E-3</v>
      </c>
      <c r="F16" s="33"/>
      <c r="G16" s="47">
        <f t="shared" si="0"/>
        <v>4.9999999999998934E-3</v>
      </c>
      <c r="H16" s="33"/>
    </row>
    <row r="17" spans="1:8">
      <c r="A17" s="28">
        <f>+'Exhibit 4.1'!B18</f>
        <v>1996</v>
      </c>
      <c r="B17" s="33"/>
      <c r="C17" s="138">
        <v>0</v>
      </c>
      <c r="E17" s="138">
        <v>4.0000000000000001E-3</v>
      </c>
      <c r="F17" s="33"/>
      <c r="G17" s="47">
        <f t="shared" si="0"/>
        <v>4.0000000000000036E-3</v>
      </c>
      <c r="H17" s="33"/>
    </row>
    <row r="18" spans="1:8">
      <c r="A18" s="28">
        <f>+'Exhibit 4.1'!B19</f>
        <v>1997</v>
      </c>
      <c r="B18" s="33"/>
      <c r="C18" s="138">
        <v>0</v>
      </c>
      <c r="E18" s="138">
        <v>2E-3</v>
      </c>
      <c r="F18" s="33"/>
      <c r="G18" s="47">
        <f t="shared" si="0"/>
        <v>2.0000000000000018E-3</v>
      </c>
      <c r="H18" s="33"/>
    </row>
    <row r="19" spans="1:8">
      <c r="A19" s="28">
        <f>+'Exhibit 4.1'!B20</f>
        <v>1998</v>
      </c>
      <c r="B19" s="33"/>
      <c r="C19" s="138">
        <v>0.126</v>
      </c>
      <c r="E19" s="138">
        <v>0</v>
      </c>
      <c r="F19" s="33"/>
      <c r="G19" s="47">
        <f t="shared" si="0"/>
        <v>0.12599999999999989</v>
      </c>
      <c r="H19" s="33"/>
    </row>
    <row r="20" spans="1:8">
      <c r="A20" s="28">
        <f>+'Exhibit 4.1'!B21</f>
        <v>1999</v>
      </c>
      <c r="B20" s="33"/>
      <c r="C20" s="138">
        <v>0.126</v>
      </c>
      <c r="E20" s="138">
        <v>0</v>
      </c>
      <c r="F20" s="33"/>
      <c r="G20" s="47">
        <f t="shared" si="0"/>
        <v>0.12599999999999989</v>
      </c>
      <c r="H20" s="33"/>
    </row>
    <row r="21" spans="1:8">
      <c r="A21" s="28">
        <f>+'Exhibit 4.1'!B22</f>
        <v>2000</v>
      </c>
      <c r="B21" s="33"/>
      <c r="C21" s="138">
        <v>7.0000000000000007E-2</v>
      </c>
      <c r="E21" s="138">
        <v>0</v>
      </c>
      <c r="F21" s="33"/>
      <c r="G21" s="47">
        <f t="shared" si="0"/>
        <v>7.0000000000000062E-2</v>
      </c>
      <c r="H21" s="33"/>
    </row>
    <row r="22" spans="1:8">
      <c r="A22" s="28">
        <f>+'Exhibit 4.1'!B23</f>
        <v>2001</v>
      </c>
      <c r="B22" s="33"/>
      <c r="C22" s="138">
        <v>6.6000000000000003E-2</v>
      </c>
      <c r="E22" s="138">
        <v>0</v>
      </c>
      <c r="F22" s="33"/>
      <c r="G22" s="47">
        <f t="shared" si="0"/>
        <v>6.6000000000000059E-2</v>
      </c>
      <c r="H22" s="33"/>
    </row>
    <row r="23" spans="1:8">
      <c r="A23" s="28">
        <f>+'Exhibit 4.1'!B24</f>
        <v>2002</v>
      </c>
      <c r="B23" s="33"/>
      <c r="C23" s="138">
        <v>-5.6000000000000001E-2</v>
      </c>
      <c r="E23" s="138">
        <v>0</v>
      </c>
      <c r="F23" s="33"/>
      <c r="G23" s="47">
        <f t="shared" si="0"/>
        <v>-5.600000000000005E-2</v>
      </c>
      <c r="H23" s="33"/>
    </row>
    <row r="24" spans="1:8">
      <c r="A24" s="28">
        <f>+'Exhibit 4.1'!B25</f>
        <v>2003</v>
      </c>
      <c r="B24" s="33"/>
      <c r="C24" s="138">
        <v>-0.06</v>
      </c>
      <c r="E24" s="138">
        <v>0</v>
      </c>
      <c r="F24" s="33"/>
      <c r="G24" s="47">
        <f t="shared" si="0"/>
        <v>-6.0000000000000053E-2</v>
      </c>
      <c r="H24" s="33"/>
    </row>
    <row r="25" spans="1:8">
      <c r="A25" s="28">
        <f>+'Exhibit 4.1'!B26</f>
        <v>2004</v>
      </c>
      <c r="B25" s="33"/>
      <c r="C25" s="138">
        <v>-0.24399999999999999</v>
      </c>
      <c r="E25" s="138">
        <v>-0.125</v>
      </c>
      <c r="F25" s="33"/>
      <c r="G25" s="47">
        <f t="shared" si="0"/>
        <v>-0.33850000000000002</v>
      </c>
      <c r="H25" s="33"/>
    </row>
    <row r="26" spans="1:8">
      <c r="A26" s="28">
        <f>+'Exhibit 4.1'!B27</f>
        <v>2005</v>
      </c>
      <c r="B26" s="33"/>
      <c r="C26" s="138">
        <v>0</v>
      </c>
      <c r="E26" s="138">
        <v>-0.13900000000000001</v>
      </c>
      <c r="F26" s="33"/>
      <c r="G26" s="47">
        <f t="shared" si="0"/>
        <v>-0.13900000000000001</v>
      </c>
      <c r="H26" s="33"/>
    </row>
    <row r="27" spans="1:8">
      <c r="A27" s="28">
        <f>+'Exhibit 4.1'!B28</f>
        <v>2006</v>
      </c>
      <c r="B27" s="33"/>
      <c r="C27" s="138">
        <v>1E-3</v>
      </c>
      <c r="E27" s="138">
        <v>-5.1999999999999998E-2</v>
      </c>
      <c r="F27" s="33"/>
      <c r="G27" s="47">
        <f t="shared" si="0"/>
        <v>-5.1052000000000097E-2</v>
      </c>
      <c r="H27" s="33"/>
    </row>
    <row r="28" spans="1:8">
      <c r="A28" s="28">
        <f>+'Exhibit 4.1'!B29</f>
        <v>2007</v>
      </c>
      <c r="B28" s="33"/>
      <c r="C28" s="138">
        <v>1E-3</v>
      </c>
      <c r="E28" s="138">
        <v>0</v>
      </c>
      <c r="F28" s="33"/>
      <c r="G28" s="47">
        <f t="shared" si="0"/>
        <v>9.9999999999988987E-4</v>
      </c>
      <c r="H28" s="33"/>
    </row>
    <row r="29" spans="1:8">
      <c r="A29" s="28">
        <f>+'Exhibit 4.1'!B30</f>
        <v>2008</v>
      </c>
      <c r="B29" s="33"/>
      <c r="C29" s="138">
        <v>2E-3</v>
      </c>
      <c r="E29" s="138">
        <v>3.0000000000000001E-3</v>
      </c>
      <c r="F29" s="33"/>
      <c r="G29" s="47">
        <f t="shared" si="0"/>
        <v>5.0059999999998439E-3</v>
      </c>
      <c r="H29" s="33"/>
    </row>
    <row r="30" spans="1:8">
      <c r="A30" s="28">
        <f>+'Exhibit 4.1'!B31</f>
        <v>2009</v>
      </c>
      <c r="B30" s="33"/>
      <c r="C30" s="138">
        <v>0</v>
      </c>
      <c r="E30" s="138">
        <v>0.01</v>
      </c>
      <c r="F30" s="33"/>
      <c r="G30" s="47">
        <f t="shared" si="0"/>
        <v>1.0000000000000009E-2</v>
      </c>
      <c r="H30" s="33"/>
    </row>
    <row r="31" spans="1:8">
      <c r="A31" s="28">
        <f>+'Exhibit 4.1'!B32</f>
        <v>2010</v>
      </c>
      <c r="B31" s="33"/>
      <c r="C31" s="138">
        <v>0</v>
      </c>
      <c r="E31" s="138">
        <v>0</v>
      </c>
      <c r="F31" s="33"/>
      <c r="G31" s="47">
        <f t="shared" si="0"/>
        <v>0</v>
      </c>
      <c r="H31" s="33"/>
    </row>
    <row r="32" spans="1:8">
      <c r="A32" s="28">
        <f>+'Exhibit 4.1'!B33</f>
        <v>2011</v>
      </c>
      <c r="B32" s="33"/>
      <c r="C32" s="138">
        <v>-0.02</v>
      </c>
      <c r="E32" s="138">
        <v>0</v>
      </c>
      <c r="F32" s="33"/>
      <c r="G32" s="47">
        <f t="shared" si="0"/>
        <v>-2.0000000000000018E-2</v>
      </c>
      <c r="H32" s="33"/>
    </row>
    <row r="33" spans="1:8">
      <c r="A33" s="28">
        <f>+'Exhibit 4.1'!B34</f>
        <v>2012</v>
      </c>
      <c r="B33" s="33"/>
      <c r="C33" s="138">
        <v>-4.2999999999999997E-2</v>
      </c>
      <c r="D33" s="134"/>
      <c r="E33" s="138">
        <v>0</v>
      </c>
      <c r="F33" s="33"/>
      <c r="G33" s="47">
        <f t="shared" si="0"/>
        <v>-4.3000000000000038E-2</v>
      </c>
      <c r="H33" s="33"/>
    </row>
    <row r="34" spans="1:8">
      <c r="A34" s="28">
        <f>+'Exhibit 4.1'!B35</f>
        <v>2013</v>
      </c>
      <c r="B34" s="33"/>
      <c r="C34" s="138">
        <v>-8.4000000000000005E-2</v>
      </c>
      <c r="E34" s="138">
        <v>2E-3</v>
      </c>
      <c r="F34" s="33"/>
      <c r="G34" s="47">
        <f t="shared" si="0"/>
        <v>-8.2167999999999908E-2</v>
      </c>
      <c r="H34" s="33"/>
    </row>
    <row r="35" spans="1:8">
      <c r="A35" s="28">
        <f>+'Exhibit 4.1'!B36</f>
        <v>2014</v>
      </c>
      <c r="B35" s="33"/>
      <c r="C35" s="138">
        <v>-0.06</v>
      </c>
      <c r="E35" s="138">
        <v>1.2999999999999999E-2</v>
      </c>
      <c r="F35" s="28"/>
      <c r="G35" s="47">
        <f t="shared" si="0"/>
        <v>-4.7780000000000156E-2</v>
      </c>
      <c r="H35" s="33"/>
    </row>
    <row r="36" spans="1:8">
      <c r="A36" s="28">
        <f>+'Exhibit 4.1'!B37</f>
        <v>2015</v>
      </c>
      <c r="B36" s="33"/>
      <c r="C36" s="138">
        <v>-2.1000000000000001E-2</v>
      </c>
      <c r="E36" s="138">
        <v>0</v>
      </c>
      <c r="F36" s="28"/>
      <c r="G36" s="47">
        <f t="shared" si="0"/>
        <v>-2.1000000000000019E-2</v>
      </c>
      <c r="H36" s="33"/>
    </row>
    <row r="37" spans="1:8">
      <c r="A37" s="28">
        <f>+'Exhibit 4.1'!B38</f>
        <v>2016</v>
      </c>
      <c r="B37" s="33"/>
      <c r="C37" s="138">
        <v>-7.0000000000000001E-3</v>
      </c>
      <c r="E37" s="138">
        <v>0</v>
      </c>
      <c r="F37" s="28"/>
      <c r="G37" s="47">
        <f t="shared" si="0"/>
        <v>-7.0000000000000062E-3</v>
      </c>
      <c r="H37" s="33"/>
    </row>
    <row r="38" spans="1:8">
      <c r="A38" s="28">
        <f>+'Exhibit 4.1'!B39</f>
        <v>2017</v>
      </c>
      <c r="B38" s="33"/>
      <c r="C38" s="138">
        <v>-5.0000000000000001E-3</v>
      </c>
      <c r="E38" s="138">
        <v>0</v>
      </c>
      <c r="F38" s="28"/>
      <c r="G38" s="47">
        <f t="shared" si="0"/>
        <v>-5.0000000000000044E-3</v>
      </c>
      <c r="H38" s="33"/>
    </row>
    <row r="39" spans="1:8">
      <c r="A39" s="28">
        <f>+'Exhibit 4.1'!B40</f>
        <v>2018</v>
      </c>
      <c r="B39" s="33"/>
      <c r="C39" s="138">
        <v>-3.0000000000000001E-3</v>
      </c>
      <c r="E39" s="138">
        <v>0</v>
      </c>
      <c r="F39" s="33"/>
      <c r="G39" s="47">
        <f t="shared" si="0"/>
        <v>-3.0000000000000027E-3</v>
      </c>
      <c r="H39" s="33"/>
    </row>
    <row r="40" spans="1:8" s="199" customFormat="1">
      <c r="A40" s="28">
        <f>+'Exhibit 4.1'!B41</f>
        <v>2019</v>
      </c>
      <c r="B40" s="272"/>
      <c r="C40" s="138">
        <v>0</v>
      </c>
      <c r="D40" s="272"/>
      <c r="E40" s="138">
        <v>0</v>
      </c>
      <c r="F40" s="272"/>
      <c r="G40" s="47">
        <f t="shared" ref="G40" si="1">(C40+1)*(1+E40)-1</f>
        <v>0</v>
      </c>
      <c r="H40" s="272"/>
    </row>
    <row r="41" spans="1:8" s="107" customFormat="1">
      <c r="A41" s="28">
        <f>+'Exhibit 4.1'!B42</f>
        <v>2020</v>
      </c>
      <c r="B41" s="33"/>
      <c r="C41" s="138">
        <v>0</v>
      </c>
      <c r="D41" s="33"/>
      <c r="E41" s="138">
        <v>0</v>
      </c>
      <c r="F41" s="33"/>
      <c r="G41" s="47">
        <f t="shared" ref="G41:G45" si="2">(C41+1)*(1+E41)-1</f>
        <v>0</v>
      </c>
      <c r="H41" s="33"/>
    </row>
    <row r="42" spans="1:8">
      <c r="A42" s="28">
        <f>+'Exhibit 4.1'!B43</f>
        <v>2021</v>
      </c>
      <c r="B42" s="33"/>
      <c r="C42" s="138">
        <v>0</v>
      </c>
      <c r="E42" s="138">
        <v>0</v>
      </c>
      <c r="F42" s="33"/>
      <c r="G42" s="47">
        <f t="shared" si="2"/>
        <v>0</v>
      </c>
      <c r="H42" s="33"/>
    </row>
    <row r="43" spans="1:8" s="199" customFormat="1">
      <c r="A43" s="28">
        <f>+'Exhibit 4.1'!B44</f>
        <v>2022</v>
      </c>
      <c r="B43" s="323"/>
      <c r="C43" s="138">
        <v>0</v>
      </c>
      <c r="D43" s="323"/>
      <c r="E43" s="138">
        <v>0</v>
      </c>
      <c r="F43" s="323"/>
      <c r="G43" s="47">
        <f t="shared" si="2"/>
        <v>0</v>
      </c>
      <c r="H43" s="323"/>
    </row>
    <row r="44" spans="1:8" s="147" customFormat="1">
      <c r="A44" s="28">
        <f>+'Exhibit 4.1'!B45</f>
        <v>2023</v>
      </c>
      <c r="B44" s="187"/>
      <c r="C44" s="138">
        <v>0</v>
      </c>
      <c r="D44" s="187"/>
      <c r="E44" s="138">
        <v>0</v>
      </c>
      <c r="F44" s="187"/>
      <c r="G44" s="47">
        <f t="shared" si="2"/>
        <v>0</v>
      </c>
      <c r="H44" s="33"/>
    </row>
    <row r="45" spans="1:8" s="199" customFormat="1">
      <c r="A45" s="28">
        <f>+'Exhibit 4.1'!B46</f>
        <v>2024</v>
      </c>
      <c r="B45" s="323"/>
      <c r="C45" s="138">
        <v>0</v>
      </c>
      <c r="D45" s="323"/>
      <c r="E45" s="138">
        <v>0</v>
      </c>
      <c r="F45" s="323"/>
      <c r="G45" s="47">
        <f t="shared" si="2"/>
        <v>0</v>
      </c>
      <c r="H45" s="323"/>
    </row>
    <row r="46" spans="1:8" s="179" customFormat="1">
      <c r="A46" s="28">
        <f>+'Exhibit 4.1'!B47</f>
        <v>2025</v>
      </c>
      <c r="B46" s="187"/>
      <c r="C46" s="138">
        <v>0</v>
      </c>
      <c r="D46" s="187"/>
      <c r="E46" s="138">
        <v>0</v>
      </c>
      <c r="F46" s="187"/>
      <c r="G46" s="47">
        <f t="shared" ref="G46" si="3">(C46+1)*(1+E46)-1</f>
        <v>0</v>
      </c>
      <c r="H46" s="33"/>
    </row>
    <row r="47" spans="1:8" s="110" customFormat="1">
      <c r="A47" s="41" t="str">
        <f>+'Exhibit 4.1'!B48</f>
        <v>9/1/2025</v>
      </c>
      <c r="B47" s="187"/>
      <c r="C47" s="122">
        <v>0</v>
      </c>
      <c r="D47" s="187"/>
      <c r="E47" s="122">
        <v>0</v>
      </c>
      <c r="F47" s="187"/>
      <c r="G47" s="47">
        <f t="shared" ref="G47" si="4">(C47+1)*(1+E47)-1</f>
        <v>0</v>
      </c>
      <c r="H47" s="33"/>
    </row>
    <row r="48" spans="1:8">
      <c r="A48" s="33"/>
      <c r="B48" s="33"/>
      <c r="C48" s="47"/>
      <c r="E48" s="47"/>
      <c r="F48" s="33"/>
      <c r="H48" s="33"/>
    </row>
    <row r="49" spans="1:8" ht="39.950000000000003" customHeight="1">
      <c r="A49" s="22" t="s">
        <v>22</v>
      </c>
      <c r="B49" s="442" t="s">
        <v>393</v>
      </c>
      <c r="C49" s="442"/>
      <c r="D49" s="442"/>
      <c r="E49" s="442"/>
      <c r="F49" s="442"/>
      <c r="G49" s="442"/>
      <c r="H49" s="442"/>
    </row>
    <row r="50" spans="1:8" ht="27" customHeight="1">
      <c r="A50" s="22" t="s">
        <v>26</v>
      </c>
      <c r="B50" s="441" t="s">
        <v>105</v>
      </c>
      <c r="C50" s="441"/>
      <c r="D50" s="441"/>
      <c r="E50" s="441"/>
      <c r="F50" s="441"/>
      <c r="G50" s="441"/>
      <c r="H50" s="441"/>
    </row>
    <row r="51" spans="1:8" ht="12.75" customHeight="1">
      <c r="A51" s="22" t="s">
        <v>34</v>
      </c>
      <c r="B51" s="25" t="s">
        <v>106</v>
      </c>
      <c r="C51" s="25"/>
      <c r="D51" s="25"/>
      <c r="E51" s="25"/>
      <c r="F51" s="25"/>
      <c r="G51" s="25"/>
      <c r="H51" s="25"/>
    </row>
  </sheetData>
  <mergeCells count="3">
    <mergeCell ref="B50:H50"/>
    <mergeCell ref="A1:H1"/>
    <mergeCell ref="B49:H49"/>
  </mergeCells>
  <printOptions horizontalCentered="1"/>
  <pageMargins left="0.5" right="0.5" top="0.75" bottom="0.75" header="0.33" footer="0.33"/>
  <pageSetup orientation="portrait" blackAndWhite="1" horizontalDpi="1200" verticalDpi="1200" r:id="rId1"/>
  <headerFooter scaleWithDoc="0">
    <oddHeader>&amp;R&amp;"Arial,Regular"&amp;10Exhibit 4.3</oddHeader>
  </headerFooter>
  <ignoredErrors>
    <ignoredError sqref="C3:G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K55"/>
  <sheetViews>
    <sheetView zoomScaleNormal="100" zoomScaleSheetLayoutView="100" workbookViewId="0"/>
  </sheetViews>
  <sheetFormatPr defaultColWidth="9.140625" defaultRowHeight="12.75"/>
  <cols>
    <col min="1" max="1" width="9.140625" style="79" bestFit="1" customWidth="1"/>
    <col min="2" max="2" width="7.140625" style="79" customWidth="1"/>
    <col min="3" max="3" width="13.85546875" style="79" customWidth="1"/>
    <col min="4" max="4" width="7.140625" style="79" customWidth="1"/>
    <col min="5" max="5" width="13.85546875" style="79" customWidth="1"/>
    <col min="6" max="6" width="7.140625" style="79" customWidth="1"/>
    <col min="7" max="7" width="13.85546875" style="79" customWidth="1"/>
    <col min="8" max="8" width="7.140625" style="79" customWidth="1"/>
    <col min="9" max="9" width="9.85546875" style="33" customWidth="1"/>
    <col min="10" max="16384" width="9.140625" style="79"/>
  </cols>
  <sheetData>
    <row r="1" spans="1:11">
      <c r="A1" s="99" t="s">
        <v>107</v>
      </c>
      <c r="B1" s="99"/>
      <c r="C1" s="99"/>
      <c r="D1" s="99"/>
      <c r="E1" s="99"/>
      <c r="F1" s="99"/>
      <c r="G1" s="99"/>
      <c r="H1" s="99"/>
      <c r="I1" s="99"/>
      <c r="J1" s="99"/>
      <c r="K1" s="99"/>
    </row>
    <row r="2" spans="1:11">
      <c r="A2" s="28"/>
      <c r="B2" s="28"/>
      <c r="C2" s="29"/>
      <c r="D2" s="29"/>
      <c r="E2" s="29"/>
      <c r="F2" s="119"/>
      <c r="G2" s="119"/>
      <c r="H2" s="119"/>
      <c r="I2" s="119"/>
    </row>
    <row r="3" spans="1:11">
      <c r="A3" s="28"/>
      <c r="B3" s="28"/>
      <c r="C3" s="29" t="s">
        <v>38</v>
      </c>
      <c r="D3" s="29"/>
      <c r="E3" s="29" t="s">
        <v>39</v>
      </c>
      <c r="F3" s="28"/>
      <c r="G3" s="29" t="s">
        <v>40</v>
      </c>
      <c r="H3" s="119"/>
      <c r="I3" s="119" t="s">
        <v>41</v>
      </c>
      <c r="K3" s="119" t="s">
        <v>42</v>
      </c>
    </row>
    <row r="4" spans="1:11">
      <c r="A4" s="28"/>
      <c r="B4" s="33"/>
      <c r="C4" s="56" t="s">
        <v>55</v>
      </c>
      <c r="D4" s="28"/>
      <c r="E4" s="56" t="s">
        <v>55</v>
      </c>
      <c r="F4" s="28"/>
      <c r="G4" s="28" t="s">
        <v>108</v>
      </c>
      <c r="H4" s="28"/>
      <c r="I4" s="20" t="s">
        <v>56</v>
      </c>
      <c r="K4" s="20" t="s">
        <v>56</v>
      </c>
    </row>
    <row r="5" spans="1:11">
      <c r="A5" s="28"/>
      <c r="B5" s="33"/>
      <c r="C5" s="56" t="s">
        <v>80</v>
      </c>
      <c r="D5" s="28"/>
      <c r="E5" s="56" t="s">
        <v>109</v>
      </c>
      <c r="F5" s="28"/>
      <c r="G5" s="28" t="s">
        <v>110</v>
      </c>
      <c r="H5" s="28"/>
      <c r="I5" s="28" t="s">
        <v>5</v>
      </c>
      <c r="K5" s="28" t="s">
        <v>5</v>
      </c>
    </row>
    <row r="6" spans="1:11">
      <c r="A6" s="28" t="s">
        <v>46</v>
      </c>
      <c r="B6" s="33"/>
      <c r="C6" s="56" t="s">
        <v>84</v>
      </c>
      <c r="D6" s="28"/>
      <c r="E6" s="56" t="s">
        <v>84</v>
      </c>
      <c r="F6" s="28"/>
      <c r="G6" s="28" t="s">
        <v>62</v>
      </c>
      <c r="H6" s="28"/>
      <c r="I6" s="28" t="s">
        <v>197</v>
      </c>
      <c r="K6" s="28" t="s">
        <v>197</v>
      </c>
    </row>
    <row r="7" spans="1:11">
      <c r="A7" s="30" t="s">
        <v>8</v>
      </c>
      <c r="B7" s="33"/>
      <c r="C7" s="123" t="s">
        <v>111</v>
      </c>
      <c r="D7" s="28"/>
      <c r="E7" s="123" t="s">
        <v>264</v>
      </c>
      <c r="F7" s="28"/>
      <c r="G7" s="30" t="s">
        <v>265</v>
      </c>
      <c r="H7" s="28"/>
      <c r="I7" s="30" t="s">
        <v>67</v>
      </c>
      <c r="K7" s="30" t="s">
        <v>404</v>
      </c>
    </row>
    <row r="8" spans="1:11">
      <c r="A8" s="28"/>
      <c r="B8" s="33"/>
      <c r="C8" s="33"/>
      <c r="D8" s="33"/>
      <c r="E8" s="33"/>
      <c r="F8" s="33"/>
      <c r="G8" s="33"/>
      <c r="H8" s="33"/>
    </row>
    <row r="9" spans="1:11">
      <c r="A9" s="28">
        <f>+'Exhibit 4.1'!B9</f>
        <v>1987</v>
      </c>
      <c r="B9" s="33"/>
      <c r="C9" s="124">
        <f>SUMIFS('Exhibit 4.2'!L:L,'Exhibit 4.2'!A:A,$A9)</f>
        <v>3.7999999999999916E-2</v>
      </c>
      <c r="D9" s="124"/>
      <c r="E9" s="124">
        <f>SUMIFS('Exhibit 4.3'!G:G,'Exhibit 4.3'!A:A,$A9)</f>
        <v>0</v>
      </c>
      <c r="F9" s="125"/>
      <c r="G9" s="124">
        <f t="shared" ref="G9:G48" si="0">(C9+1)*(1+E9)-1</f>
        <v>3.7999999999999812E-2</v>
      </c>
      <c r="H9" s="33"/>
      <c r="I9" s="20">
        <f>(1+G10)*I10</f>
        <v>0.85531315962196264</v>
      </c>
      <c r="K9" s="375" t="s">
        <v>29</v>
      </c>
    </row>
    <row r="10" spans="1:11">
      <c r="A10" s="28">
        <f>+'Exhibit 4.1'!B10</f>
        <v>1988</v>
      </c>
      <c r="B10" s="33"/>
      <c r="C10" s="124">
        <f>SUMIFS('Exhibit 4.2'!L:L,'Exhibit 4.2'!A:A,$A10)</f>
        <v>3.7999999999999999E-2</v>
      </c>
      <c r="D10" s="124"/>
      <c r="E10" s="124">
        <f>SUMIFS('Exhibit 4.3'!G:G,'Exhibit 4.3'!A:A,$A10)</f>
        <v>0</v>
      </c>
      <c r="F10" s="125"/>
      <c r="G10" s="124">
        <f t="shared" si="0"/>
        <v>3.8000000000000034E-2</v>
      </c>
      <c r="H10" s="33"/>
      <c r="I10" s="20">
        <f t="shared" ref="I10:I45" si="1">(1+G11)*I11</f>
        <v>0.82400111716952085</v>
      </c>
      <c r="K10" s="375" t="s">
        <v>29</v>
      </c>
    </row>
    <row r="11" spans="1:11">
      <c r="A11" s="28">
        <f>+'Exhibit 4.1'!B11</f>
        <v>1989</v>
      </c>
      <c r="B11" s="33"/>
      <c r="C11" s="124">
        <f>SUMIFS('Exhibit 4.2'!L:L,'Exhibit 4.2'!A:A,$A11)</f>
        <v>0.03</v>
      </c>
      <c r="D11" s="124"/>
      <c r="E11" s="124">
        <f>SUMIFS('Exhibit 4.3'!G:G,'Exhibit 4.3'!A:A,$A11)</f>
        <v>0</v>
      </c>
      <c r="F11" s="125"/>
      <c r="G11" s="124">
        <f t="shared" si="0"/>
        <v>3.0000000000000027E-2</v>
      </c>
      <c r="H11" s="33"/>
      <c r="I11" s="20">
        <f t="shared" si="1"/>
        <v>0.80000108463060271</v>
      </c>
      <c r="K11" s="375" t="s">
        <v>29</v>
      </c>
    </row>
    <row r="12" spans="1:11">
      <c r="A12" s="28">
        <f>+'Exhibit 4.1'!B12</f>
        <v>1990</v>
      </c>
      <c r="B12" s="33"/>
      <c r="C12" s="124">
        <f>SUMIFS('Exhibit 4.2'!L:L,'Exhibit 4.2'!A:A,$A12)</f>
        <v>3.6999999999999998E-2</v>
      </c>
      <c r="D12" s="124"/>
      <c r="E12" s="124">
        <f>SUMIFS('Exhibit 4.3'!G:G,'Exhibit 4.3'!A:A,$A12)</f>
        <v>0.19060699999999997</v>
      </c>
      <c r="F12" s="125"/>
      <c r="G12" s="124">
        <f t="shared" si="0"/>
        <v>0.23465945899999996</v>
      </c>
      <c r="H12" s="33"/>
      <c r="I12" s="20">
        <f t="shared" si="1"/>
        <v>0.64795282520943509</v>
      </c>
      <c r="K12" s="375" t="s">
        <v>29</v>
      </c>
    </row>
    <row r="13" spans="1:11">
      <c r="A13" s="28">
        <f>+'Exhibit 4.1'!B13</f>
        <v>1991</v>
      </c>
      <c r="B13" s="33"/>
      <c r="C13" s="124">
        <f>SUMIFS('Exhibit 4.2'!L:L,'Exhibit 4.2'!A:A,$A13)</f>
        <v>3.5999999999999997E-2</v>
      </c>
      <c r="D13" s="124"/>
      <c r="E13" s="124">
        <f>SUMIFS('Exhibit 4.3'!G:G,'Exhibit 4.3'!A:A,$A13)</f>
        <v>0.1286480000000001</v>
      </c>
      <c r="F13" s="125"/>
      <c r="G13" s="124">
        <f t="shared" si="0"/>
        <v>0.16927932800000023</v>
      </c>
      <c r="H13" s="33"/>
      <c r="I13" s="20">
        <f t="shared" si="1"/>
        <v>0.55414716543200104</v>
      </c>
      <c r="K13" s="375" t="s">
        <v>29</v>
      </c>
    </row>
    <row r="14" spans="1:11">
      <c r="A14" s="28">
        <f>+'Exhibit 4.1'!B14</f>
        <v>1992</v>
      </c>
      <c r="B14" s="33"/>
      <c r="C14" s="124">
        <f>SUMIFS('Exhibit 4.2'!L:L,'Exhibit 4.2'!A:A,$A14)</f>
        <v>0.03</v>
      </c>
      <c r="D14" s="124"/>
      <c r="E14" s="124">
        <f>SUMIFS('Exhibit 4.3'!G:G,'Exhibit 4.3'!A:A,$A14)</f>
        <v>-7.9420000000000046E-2</v>
      </c>
      <c r="F14" s="125"/>
      <c r="G14" s="124">
        <f t="shared" si="0"/>
        <v>-5.1802600000000032E-2</v>
      </c>
      <c r="H14" s="33"/>
      <c r="I14" s="20">
        <f t="shared" si="1"/>
        <v>0.58442173057213731</v>
      </c>
      <c r="K14" s="375" t="s">
        <v>29</v>
      </c>
    </row>
    <row r="15" spans="1:11">
      <c r="A15" s="28">
        <f>+'Exhibit 4.1'!B15</f>
        <v>1993</v>
      </c>
      <c r="B15" s="33"/>
      <c r="C15" s="124">
        <f>SUMIFS('Exhibit 4.2'!L:L,'Exhibit 4.2'!A:A,$A15)</f>
        <v>2.7E-2</v>
      </c>
      <c r="D15" s="124"/>
      <c r="E15" s="124">
        <f>SUMIFS('Exhibit 4.3'!G:G,'Exhibit 4.3'!A:A,$A15)</f>
        <v>-0.18673300000000004</v>
      </c>
      <c r="F15" s="125"/>
      <c r="G15" s="124">
        <f t="shared" si="0"/>
        <v>-0.16477479100000014</v>
      </c>
      <c r="H15" s="33"/>
      <c r="I15" s="20">
        <f t="shared" si="1"/>
        <v>0.6997175423762112</v>
      </c>
      <c r="K15" s="375" t="s">
        <v>29</v>
      </c>
    </row>
    <row r="16" spans="1:11">
      <c r="A16" s="28">
        <f>+'Exhibit 4.1'!B16</f>
        <v>1994</v>
      </c>
      <c r="B16" s="33"/>
      <c r="C16" s="124">
        <f>SUMIFS('Exhibit 4.2'!L:L,'Exhibit 4.2'!A:A,$A16)</f>
        <v>-2.3E-2</v>
      </c>
      <c r="D16" s="124"/>
      <c r="E16" s="124">
        <f>SUMIFS('Exhibit 4.3'!G:G,'Exhibit 4.3'!A:A,$A16)</f>
        <v>-2.3078000000000154E-2</v>
      </c>
      <c r="F16" s="125"/>
      <c r="G16" s="124">
        <f t="shared" si="0"/>
        <v>-4.5547206000000173E-2</v>
      </c>
      <c r="H16" s="33"/>
      <c r="I16" s="20">
        <f t="shared" si="1"/>
        <v>0.73310859036178933</v>
      </c>
      <c r="K16" s="375" t="s">
        <v>29</v>
      </c>
    </row>
    <row r="17" spans="1:11">
      <c r="A17" s="28">
        <f>+'Exhibit 4.1'!B17</f>
        <v>1995</v>
      </c>
      <c r="B17" s="33"/>
      <c r="C17" s="124">
        <f>SUMIFS('Exhibit 4.2'!L:L,'Exhibit 4.2'!A:A,$A17)</f>
        <v>8.9999999999999993E-3</v>
      </c>
      <c r="D17" s="124"/>
      <c r="E17" s="124">
        <f>SUMIFS('Exhibit 4.3'!G:G,'Exhibit 4.3'!A:A,$A17)</f>
        <v>4.9999999999998934E-3</v>
      </c>
      <c r="F17" s="125"/>
      <c r="G17" s="124">
        <f t="shared" si="0"/>
        <v>1.4044999999999863E-2</v>
      </c>
      <c r="H17" s="33"/>
      <c r="I17" s="20">
        <f t="shared" si="1"/>
        <v>0.72295469171662941</v>
      </c>
      <c r="K17" s="375" t="s">
        <v>29</v>
      </c>
    </row>
    <row r="18" spans="1:11">
      <c r="A18" s="28">
        <f>+'Exhibit 4.1'!B18</f>
        <v>1996</v>
      </c>
      <c r="B18" s="33"/>
      <c r="C18" s="124">
        <f>SUMIFS('Exhibit 4.2'!L:L,'Exhibit 4.2'!A:A,$A18)</f>
        <v>0.01</v>
      </c>
      <c r="D18" s="124"/>
      <c r="E18" s="124">
        <f>SUMIFS('Exhibit 4.3'!G:G,'Exhibit 4.3'!A:A,$A18)</f>
        <v>4.0000000000000036E-3</v>
      </c>
      <c r="F18" s="125"/>
      <c r="G18" s="124">
        <f t="shared" si="0"/>
        <v>1.4040000000000052E-2</v>
      </c>
      <c r="H18" s="33"/>
      <c r="I18" s="20">
        <f t="shared" si="1"/>
        <v>0.71294494469313774</v>
      </c>
      <c r="K18" s="375" t="s">
        <v>29</v>
      </c>
    </row>
    <row r="19" spans="1:11">
      <c r="A19" s="28">
        <f>+'Exhibit 4.1'!B19</f>
        <v>1997</v>
      </c>
      <c r="B19" s="33"/>
      <c r="C19" s="124">
        <f>SUMIFS('Exhibit 4.2'!L:L,'Exhibit 4.2'!A:A,$A19)</f>
        <v>7.0000000000000001E-3</v>
      </c>
      <c r="D19" s="124"/>
      <c r="E19" s="124">
        <f>SUMIFS('Exhibit 4.3'!G:G,'Exhibit 4.3'!A:A,$A19)</f>
        <v>2.0000000000000018E-3</v>
      </c>
      <c r="F19" s="125"/>
      <c r="G19" s="124">
        <f t="shared" si="0"/>
        <v>9.0139999999998555E-3</v>
      </c>
      <c r="H19" s="33"/>
      <c r="I19" s="20">
        <f t="shared" si="1"/>
        <v>0.70657586980273601</v>
      </c>
      <c r="K19" s="375" t="s">
        <v>29</v>
      </c>
    </row>
    <row r="20" spans="1:11">
      <c r="A20" s="28">
        <f>+'Exhibit 4.1'!B20</f>
        <v>1998</v>
      </c>
      <c r="B20" s="33"/>
      <c r="C20" s="124">
        <f>SUMIFS('Exhibit 4.2'!L:L,'Exhibit 4.2'!A:A,$A20)</f>
        <v>8.0000000000000002E-3</v>
      </c>
      <c r="D20" s="124"/>
      <c r="E20" s="124">
        <f>SUMIFS('Exhibit 4.3'!G:G,'Exhibit 4.3'!A:A,$A20)</f>
        <v>0.12599999999999989</v>
      </c>
      <c r="F20" s="125"/>
      <c r="G20" s="124">
        <f t="shared" si="0"/>
        <v>0.13500799999999979</v>
      </c>
      <c r="H20" s="33"/>
      <c r="I20" s="20">
        <f t="shared" si="1"/>
        <v>0.62252941812104945</v>
      </c>
      <c r="K20" s="375" t="s">
        <v>29</v>
      </c>
    </row>
    <row r="21" spans="1:11">
      <c r="A21" s="28">
        <f>+'Exhibit 4.1'!B21</f>
        <v>1999</v>
      </c>
      <c r="B21" s="33"/>
      <c r="C21" s="124">
        <f>SUMIFS('Exhibit 4.2'!L:L,'Exhibit 4.2'!A:A,$A21)</f>
        <v>2.5000000000000001E-2</v>
      </c>
      <c r="D21" s="124"/>
      <c r="E21" s="124">
        <f>SUMIFS('Exhibit 4.3'!G:G,'Exhibit 4.3'!A:A,$A21)</f>
        <v>0.12599999999999989</v>
      </c>
      <c r="F21" s="125"/>
      <c r="G21" s="124">
        <f t="shared" si="0"/>
        <v>0.15414999999999979</v>
      </c>
      <c r="H21" s="33"/>
      <c r="I21" s="20">
        <f t="shared" si="1"/>
        <v>0.53938345806095356</v>
      </c>
      <c r="K21" s="375" t="s">
        <v>29</v>
      </c>
    </row>
    <row r="22" spans="1:11">
      <c r="A22" s="28">
        <f>+'Exhibit 4.1'!B22</f>
        <v>2000</v>
      </c>
      <c r="B22" s="33"/>
      <c r="C22" s="124">
        <f>SUMIFS('Exhibit 4.2'!L:L,'Exhibit 4.2'!A:A,$A22)</f>
        <v>1.7000000000000001E-2</v>
      </c>
      <c r="D22" s="124"/>
      <c r="E22" s="124">
        <f>SUMIFS('Exhibit 4.3'!G:G,'Exhibit 4.3'!A:A,$A22)</f>
        <v>7.0000000000000062E-2</v>
      </c>
      <c r="F22" s="125"/>
      <c r="G22" s="124">
        <f t="shared" si="0"/>
        <v>8.8189999999999991E-2</v>
      </c>
      <c r="H22" s="33"/>
      <c r="I22" s="20">
        <f t="shared" si="1"/>
        <v>0.49567029476557728</v>
      </c>
      <c r="K22" s="375" t="s">
        <v>29</v>
      </c>
    </row>
    <row r="23" spans="1:11">
      <c r="A23" s="28">
        <f>+'Exhibit 4.1'!B23</f>
        <v>2001</v>
      </c>
      <c r="B23" s="33"/>
      <c r="C23" s="124">
        <f>SUMIFS('Exhibit 4.2'!L:L,'Exhibit 4.2'!A:A,$A23)</f>
        <v>2.8999999999999998E-2</v>
      </c>
      <c r="D23" s="124"/>
      <c r="E23" s="124">
        <f>SUMIFS('Exhibit 4.3'!G:G,'Exhibit 4.3'!A:A,$A23)</f>
        <v>6.6000000000000059E-2</v>
      </c>
      <c r="F23" s="125"/>
      <c r="G23" s="124">
        <f t="shared" si="0"/>
        <v>9.6913999999999945E-2</v>
      </c>
      <c r="H23" s="33"/>
      <c r="I23" s="20">
        <f t="shared" si="1"/>
        <v>0.45187707948442385</v>
      </c>
      <c r="K23" s="375" t="s">
        <v>29</v>
      </c>
    </row>
    <row r="24" spans="1:11">
      <c r="A24" s="28">
        <f>+'Exhibit 4.1'!B24</f>
        <v>2002</v>
      </c>
      <c r="B24" s="33"/>
      <c r="C24" s="124">
        <f>SUMIFS('Exhibit 4.2'!L:L,'Exhibit 4.2'!A:A,$A24)</f>
        <v>0.02</v>
      </c>
      <c r="D24" s="124"/>
      <c r="E24" s="124">
        <f>SUMIFS('Exhibit 4.3'!G:G,'Exhibit 4.3'!A:A,$A24)</f>
        <v>-5.600000000000005E-2</v>
      </c>
      <c r="F24" s="125"/>
      <c r="G24" s="124">
        <f t="shared" si="0"/>
        <v>-3.7120000000000042E-2</v>
      </c>
      <c r="H24" s="33"/>
      <c r="I24" s="20">
        <f t="shared" si="1"/>
        <v>0.46929739893280975</v>
      </c>
      <c r="K24" s="375" t="s">
        <v>29</v>
      </c>
    </row>
    <row r="25" spans="1:11">
      <c r="A25" s="28">
        <f>+'Exhibit 4.1'!B25</f>
        <v>2003</v>
      </c>
      <c r="B25" s="33"/>
      <c r="C25" s="124">
        <f>SUMIFS('Exhibit 4.2'!L:L,'Exhibit 4.2'!A:A,$A25)</f>
        <v>1.4E-2</v>
      </c>
      <c r="D25" s="124"/>
      <c r="E25" s="124">
        <f>SUMIFS('Exhibit 4.3'!G:G,'Exhibit 4.3'!A:A,$A25)</f>
        <v>-6.0000000000000053E-2</v>
      </c>
      <c r="F25" s="125"/>
      <c r="G25" s="124">
        <f t="shared" si="0"/>
        <v>-4.6839999999999993E-2</v>
      </c>
      <c r="H25" s="33"/>
      <c r="I25" s="20">
        <f t="shared" si="1"/>
        <v>0.49235951879307749</v>
      </c>
      <c r="K25" s="375" t="s">
        <v>29</v>
      </c>
    </row>
    <row r="26" spans="1:11">
      <c r="A26" s="28">
        <f>+'Exhibit 4.1'!B26</f>
        <v>2004</v>
      </c>
      <c r="B26" s="33"/>
      <c r="C26" s="124">
        <f>SUMIFS('Exhibit 4.2'!L:L,'Exhibit 4.2'!A:A,$A26)</f>
        <v>0</v>
      </c>
      <c r="D26" s="124"/>
      <c r="E26" s="124">
        <f>SUMIFS('Exhibit 4.3'!G:G,'Exhibit 4.3'!A:A,$A26)</f>
        <v>-0.33850000000000002</v>
      </c>
      <c r="F26" s="125"/>
      <c r="G26" s="124">
        <f t="shared" si="0"/>
        <v>-0.33850000000000002</v>
      </c>
      <c r="H26" s="33"/>
      <c r="I26" s="20">
        <f t="shared" si="1"/>
        <v>0.74430766257456915</v>
      </c>
      <c r="K26" s="375" t="s">
        <v>29</v>
      </c>
    </row>
    <row r="27" spans="1:11">
      <c r="A27" s="28">
        <f>+'Exhibit 4.1'!B27</f>
        <v>2005</v>
      </c>
      <c r="B27" s="33"/>
      <c r="C27" s="124">
        <f>SUMIFS('Exhibit 4.2'!L:L,'Exhibit 4.2'!A:A,$A27)</f>
        <v>0</v>
      </c>
      <c r="D27" s="124"/>
      <c r="E27" s="124">
        <f>SUMIFS('Exhibit 4.3'!G:G,'Exhibit 4.3'!A:A,$A27)</f>
        <v>-0.13900000000000001</v>
      </c>
      <c r="F27" s="125"/>
      <c r="G27" s="124">
        <f t="shared" si="0"/>
        <v>-0.13900000000000001</v>
      </c>
      <c r="H27" s="33"/>
      <c r="I27" s="20">
        <f t="shared" si="1"/>
        <v>0.86446882993562035</v>
      </c>
      <c r="K27" s="375" t="s">
        <v>29</v>
      </c>
    </row>
    <row r="28" spans="1:11">
      <c r="A28" s="28">
        <f>+'Exhibit 4.1'!B28</f>
        <v>2006</v>
      </c>
      <c r="B28" s="33"/>
      <c r="C28" s="124">
        <f>SUMIFS('Exhibit 4.2'!L:L,'Exhibit 4.2'!A:A,$A28)</f>
        <v>3.0000000000000001E-3</v>
      </c>
      <c r="D28" s="124"/>
      <c r="E28" s="124">
        <f>SUMIFS('Exhibit 4.3'!G:G,'Exhibit 4.3'!A:A,$A28)</f>
        <v>-5.1052000000000097E-2</v>
      </c>
      <c r="F28" s="125"/>
      <c r="G28" s="124">
        <f t="shared" si="0"/>
        <v>-4.8205156000000193E-2</v>
      </c>
      <c r="H28" s="33"/>
      <c r="I28" s="20">
        <f t="shared" si="1"/>
        <v>0.90825122176814455</v>
      </c>
      <c r="K28" s="375" t="s">
        <v>29</v>
      </c>
    </row>
    <row r="29" spans="1:11">
      <c r="A29" s="28">
        <f>+'Exhibit 4.1'!B29</f>
        <v>2007</v>
      </c>
      <c r="B29" s="33"/>
      <c r="C29" s="124">
        <f>SUMIFS('Exhibit 4.2'!L:L,'Exhibit 4.2'!A:A,$A29)</f>
        <v>1.8000000000000002E-2</v>
      </c>
      <c r="D29" s="124"/>
      <c r="E29" s="124">
        <f>SUMIFS('Exhibit 4.3'!G:G,'Exhibit 4.3'!A:A,$A29)</f>
        <v>9.9999999999988987E-4</v>
      </c>
      <c r="F29" s="125"/>
      <c r="G29" s="124">
        <f t="shared" si="0"/>
        <v>1.9017999999999979E-2</v>
      </c>
      <c r="H29" s="33"/>
      <c r="I29" s="20">
        <f t="shared" si="1"/>
        <v>0.89130046944032837</v>
      </c>
      <c r="K29" s="375" t="s">
        <v>29</v>
      </c>
    </row>
    <row r="30" spans="1:11">
      <c r="A30" s="28">
        <f>+'Exhibit 4.1'!B30</f>
        <v>2008</v>
      </c>
      <c r="B30" s="33"/>
      <c r="C30" s="124">
        <f>SUMIFS('Exhibit 4.2'!L:L,'Exhibit 4.2'!A:A,$A30)</f>
        <v>2E-3</v>
      </c>
      <c r="D30" s="124"/>
      <c r="E30" s="124">
        <f>SUMIFS('Exhibit 4.3'!G:G,'Exhibit 4.3'!A:A,$A30)</f>
        <v>5.0059999999998439E-3</v>
      </c>
      <c r="F30" s="125"/>
      <c r="G30" s="124">
        <f t="shared" si="0"/>
        <v>7.0160119999997939E-3</v>
      </c>
      <c r="H30" s="33"/>
      <c r="I30" s="20">
        <f t="shared" si="1"/>
        <v>0.88509066272953019</v>
      </c>
      <c r="K30" s="375" t="s">
        <v>29</v>
      </c>
    </row>
    <row r="31" spans="1:11">
      <c r="A31" s="28">
        <f>+'Exhibit 4.1'!B31</f>
        <v>2009</v>
      </c>
      <c r="B31" s="33"/>
      <c r="C31" s="124">
        <f>SUMIFS('Exhibit 4.2'!L:L,'Exhibit 4.2'!A:A,$A31)</f>
        <v>4.0000000000000001E-3</v>
      </c>
      <c r="D31" s="124"/>
      <c r="E31" s="124">
        <f>SUMIFS('Exhibit 4.3'!G:G,'Exhibit 4.3'!A:A,$A31)</f>
        <v>1.0000000000000009E-2</v>
      </c>
      <c r="F31" s="125"/>
      <c r="G31" s="124">
        <f t="shared" si="0"/>
        <v>1.4040000000000052E-2</v>
      </c>
      <c r="H31" s="33"/>
      <c r="I31" s="20">
        <f t="shared" si="1"/>
        <v>0.87283604466246911</v>
      </c>
      <c r="K31" s="375" t="s">
        <v>29</v>
      </c>
    </row>
    <row r="32" spans="1:11">
      <c r="A32" s="28">
        <f>+'Exhibit 4.1'!B32</f>
        <v>2010</v>
      </c>
      <c r="B32" s="33"/>
      <c r="C32" s="124">
        <f>SUMIFS('Exhibit 4.2'!L:L,'Exhibit 4.2'!A:A,$A32)</f>
        <v>3.0000000000000001E-3</v>
      </c>
      <c r="D32" s="124"/>
      <c r="E32" s="124">
        <f>SUMIFS('Exhibit 4.3'!G:G,'Exhibit 4.3'!A:A,$A32)</f>
        <v>0</v>
      </c>
      <c r="F32" s="125"/>
      <c r="G32" s="124">
        <f t="shared" si="0"/>
        <v>2.9999999999998916E-3</v>
      </c>
      <c r="H32" s="33"/>
      <c r="I32" s="20">
        <f t="shared" si="1"/>
        <v>0.87022536855679877</v>
      </c>
      <c r="K32" s="375" t="s">
        <v>29</v>
      </c>
    </row>
    <row r="33" spans="1:11">
      <c r="A33" s="28">
        <f>+'Exhibit 4.1'!B33</f>
        <v>2011</v>
      </c>
      <c r="B33" s="33"/>
      <c r="C33" s="124">
        <f>SUMIFS('Exhibit 4.2'!L:L,'Exhibit 4.2'!A:A,$A33)</f>
        <v>3.0000000000000001E-3</v>
      </c>
      <c r="D33" s="124"/>
      <c r="E33" s="124">
        <f>SUMIFS('Exhibit 4.3'!G:G,'Exhibit 4.3'!A:A,$A33)</f>
        <v>-2.0000000000000018E-2</v>
      </c>
      <c r="F33" s="125"/>
      <c r="G33" s="124">
        <f t="shared" si="0"/>
        <v>-1.7060000000000075E-2</v>
      </c>
      <c r="H33" s="33"/>
      <c r="I33" s="20">
        <f>(1+G34)*I34</f>
        <v>0.88532908270779376</v>
      </c>
      <c r="K33" s="375" t="s">
        <v>29</v>
      </c>
    </row>
    <row r="34" spans="1:11">
      <c r="A34" s="28">
        <f>+'Exhibit 4.1'!B34</f>
        <v>2012</v>
      </c>
      <c r="B34" s="33"/>
      <c r="C34" s="124">
        <f>SUMIFS('Exhibit 4.2'!L:L,'Exhibit 4.2'!A:A,$A34)</f>
        <v>1E-3</v>
      </c>
      <c r="D34" s="124"/>
      <c r="E34" s="124">
        <f>SUMIFS('Exhibit 4.3'!G:G,'Exhibit 4.3'!A:A,$A34)</f>
        <v>-4.3000000000000038E-2</v>
      </c>
      <c r="F34" s="125"/>
      <c r="G34" s="124">
        <f t="shared" si="0"/>
        <v>-4.2043000000000164E-2</v>
      </c>
      <c r="H34" s="33"/>
      <c r="I34" s="20">
        <f t="shared" si="1"/>
        <v>0.92418457478550076</v>
      </c>
      <c r="K34" s="130">
        <v>0.89707175129880545</v>
      </c>
    </row>
    <row r="35" spans="1:11">
      <c r="A35" s="28">
        <f>+'Exhibit 4.1'!B35</f>
        <v>2013</v>
      </c>
      <c r="B35" s="33"/>
      <c r="C35" s="124">
        <f>SUMIFS('Exhibit 4.2'!L:L,'Exhibit 4.2'!A:A,$A35)</f>
        <v>4.9399999999999999E-2</v>
      </c>
      <c r="D35" s="124"/>
      <c r="E35" s="124">
        <f>SUMIFS('Exhibit 4.3'!G:G,'Exhibit 4.3'!A:A,$A35)</f>
        <v>-8.2167999999999908E-2</v>
      </c>
      <c r="F35" s="125"/>
      <c r="G35" s="124">
        <f t="shared" si="0"/>
        <v>-3.6827099200000046E-2</v>
      </c>
      <c r="H35" s="33"/>
      <c r="I35" s="20">
        <f t="shared" si="1"/>
        <v>0.95952094791899156</v>
      </c>
      <c r="K35" s="130">
        <v>0.98398410072162334</v>
      </c>
    </row>
    <row r="36" spans="1:11">
      <c r="A36" s="28">
        <f>+'Exhibit 4.1'!B36</f>
        <v>2014</v>
      </c>
      <c r="B36" s="95"/>
      <c r="C36" s="124">
        <f>SUMIFS('Exhibit 4.2'!L:L,'Exhibit 4.2'!A:A,$A36)</f>
        <v>3.0000000000000001E-3</v>
      </c>
      <c r="D36" s="126"/>
      <c r="E36" s="124">
        <f>SUMIFS('Exhibit 4.3'!G:G,'Exhibit 4.3'!A:A,$A36)</f>
        <v>-4.7780000000000156E-2</v>
      </c>
      <c r="F36" s="127"/>
      <c r="G36" s="126">
        <f t="shared" si="0"/>
        <v>-4.4923340000000311E-2</v>
      </c>
      <c r="H36" s="95"/>
      <c r="I36" s="20">
        <f t="shared" si="1"/>
        <v>1.0046533310938537</v>
      </c>
      <c r="K36" s="130">
        <v>1.0380933894768223</v>
      </c>
    </row>
    <row r="37" spans="1:11">
      <c r="A37" s="28">
        <f>+'Exhibit 4.1'!B37</f>
        <v>2015</v>
      </c>
      <c r="B37" s="95"/>
      <c r="C37" s="124">
        <f>SUMIFS('Exhibit 4.2'!L:L,'Exhibit 4.2'!A:A,$A37)</f>
        <v>2E-3</v>
      </c>
      <c r="D37" s="126"/>
      <c r="E37" s="124">
        <f>SUMIFS('Exhibit 4.3'!G:G,'Exhibit 4.3'!A:A,$A37)</f>
        <v>-2.1000000000000019E-2</v>
      </c>
      <c r="F37" s="127"/>
      <c r="G37" s="126">
        <f t="shared" si="0"/>
        <v>-1.9042000000000003E-2</v>
      </c>
      <c r="H37" s="95"/>
      <c r="I37" s="20">
        <f t="shared" si="1"/>
        <v>1.0241552962449501</v>
      </c>
      <c r="K37" s="130">
        <v>1.0643771121446806</v>
      </c>
    </row>
    <row r="38" spans="1:11">
      <c r="A38" s="28">
        <f>+'Exhibit 4.1'!B38</f>
        <v>2016</v>
      </c>
      <c r="B38" s="95"/>
      <c r="C38" s="124">
        <f>SUMIFS('Exhibit 4.2'!L:L,'Exhibit 4.2'!A:A,$A38)</f>
        <v>4.0000000000000001E-3</v>
      </c>
      <c r="D38" s="126"/>
      <c r="E38" s="124">
        <f>SUMIFS('Exhibit 4.3'!G:G,'Exhibit 4.3'!A:A,$A38)</f>
        <v>-7.0000000000000062E-3</v>
      </c>
      <c r="F38" s="127"/>
      <c r="G38" s="126">
        <f t="shared" si="0"/>
        <v>-3.0280000000000307E-3</v>
      </c>
      <c r="H38" s="95"/>
      <c r="I38" s="20">
        <f t="shared" si="1"/>
        <v>1.0272658572607356</v>
      </c>
      <c r="K38" s="130">
        <v>1.0663458718168795</v>
      </c>
    </row>
    <row r="39" spans="1:11">
      <c r="A39" s="28">
        <f>+'Exhibit 4.1'!B39</f>
        <v>2017</v>
      </c>
      <c r="B39" s="95"/>
      <c r="C39" s="124">
        <f>SUMIFS('Exhibit 4.2'!L:L,'Exhibit 4.2'!A:A,$A39)</f>
        <v>2E-3</v>
      </c>
      <c r="D39" s="126"/>
      <c r="E39" s="124">
        <f>SUMIFS('Exhibit 4.3'!G:G,'Exhibit 4.3'!A:A,$A39)</f>
        <v>-5.0000000000000044E-3</v>
      </c>
      <c r="F39" s="127"/>
      <c r="G39" s="126">
        <f t="shared" si="0"/>
        <v>-3.0099999999999572E-3</v>
      </c>
      <c r="H39" s="95"/>
      <c r="I39" s="20">
        <f t="shared" si="1"/>
        <v>1.0303672627215275</v>
      </c>
      <c r="K39" s="130">
        <v>1.0679669242144911</v>
      </c>
    </row>
    <row r="40" spans="1:11">
      <c r="A40" s="28">
        <f>+'Exhibit 4.1'!B40</f>
        <v>2018</v>
      </c>
      <c r="B40" s="95"/>
      <c r="C40" s="124">
        <f>SUMIFS('Exhibit 4.2'!L:L,'Exhibit 4.2'!A:A,$A40)</f>
        <v>2E-3</v>
      </c>
      <c r="D40" s="126"/>
      <c r="E40" s="124">
        <f>SUMIFS('Exhibit 4.3'!G:G,'Exhibit 4.3'!A:A,$A40)</f>
        <v>-3.0000000000000027E-3</v>
      </c>
      <c r="F40" s="127"/>
      <c r="G40" s="126">
        <f t="shared" si="0"/>
        <v>-1.0059999999999514E-3</v>
      </c>
      <c r="H40" s="95"/>
      <c r="I40" s="20">
        <f t="shared" si="1"/>
        <v>1.0314048560066702</v>
      </c>
      <c r="K40" s="130">
        <v>1.0785443023695074</v>
      </c>
    </row>
    <row r="41" spans="1:11" s="199" customFormat="1">
      <c r="A41" s="28">
        <f>+'Exhibit 4.1'!B41</f>
        <v>2019</v>
      </c>
      <c r="B41" s="95"/>
      <c r="C41" s="124">
        <f>SUMIFS('Exhibit 4.2'!L:L,'Exhibit 4.2'!A:A,$A41)</f>
        <v>4.0000000000000001E-3</v>
      </c>
      <c r="D41" s="126"/>
      <c r="E41" s="124">
        <f>SUMIFS('Exhibit 4.3'!G:G,'Exhibit 4.3'!A:A,$A41)</f>
        <v>0</v>
      </c>
      <c r="F41" s="127"/>
      <c r="G41" s="126">
        <f t="shared" ref="G41" si="2">(C41+1)*(1+E41)-1</f>
        <v>4.0000000000000036E-3</v>
      </c>
      <c r="H41" s="95"/>
      <c r="I41" s="20">
        <f t="shared" si="1"/>
        <v>1.0272956733134164</v>
      </c>
      <c r="K41" s="130">
        <v>1.0686500872052271</v>
      </c>
    </row>
    <row r="42" spans="1:11" s="107" customFormat="1">
      <c r="A42" s="28">
        <f>+'Exhibit 4.1'!B42</f>
        <v>2020</v>
      </c>
      <c r="B42" s="95"/>
      <c r="C42" s="124">
        <f>SUMIFS('Exhibit 4.2'!L:L,'Exhibit 4.2'!A:A,$A42)</f>
        <v>4.0000000000000001E-3</v>
      </c>
      <c r="D42" s="126"/>
      <c r="E42" s="124">
        <f>SUMIFS('Exhibit 4.3'!G:G,'Exhibit 4.3'!A:A,$A42)</f>
        <v>0</v>
      </c>
      <c r="F42" s="127"/>
      <c r="G42" s="126">
        <f t="shared" ref="G42" si="3">(C42+1)*(1+E42)-1</f>
        <v>4.0000000000000036E-3</v>
      </c>
      <c r="H42" s="95"/>
      <c r="I42" s="20">
        <f t="shared" si="1"/>
        <v>1.0232028618659526</v>
      </c>
      <c r="K42" s="130">
        <v>1.0521323879067153</v>
      </c>
    </row>
    <row r="43" spans="1:11" s="110" customFormat="1">
      <c r="A43" s="28">
        <f>+'Exhibit 4.1'!B43</f>
        <v>2021</v>
      </c>
      <c r="B43" s="95"/>
      <c r="C43" s="124">
        <f>SUMIFS('Exhibit 4.2'!L:L,'Exhibit 4.2'!A:A,$A43)</f>
        <v>2E-3</v>
      </c>
      <c r="D43" s="126"/>
      <c r="E43" s="124">
        <f>SUMIFS('Exhibit 4.3'!G:G,'Exhibit 4.3'!A:A,$A43)</f>
        <v>0</v>
      </c>
      <c r="F43" s="127"/>
      <c r="G43" s="126">
        <f t="shared" ref="G43:G47" si="4">(C43+1)*(1+E43)-1</f>
        <v>2.0000000000000018E-3</v>
      </c>
      <c r="H43" s="95"/>
      <c r="I43" s="20">
        <f t="shared" si="1"/>
        <v>1.0211605407843838</v>
      </c>
      <c r="K43" s="130">
        <v>1.0523818735978958</v>
      </c>
    </row>
    <row r="44" spans="1:11" s="199" customFormat="1">
      <c r="A44" s="28">
        <f>+'Exhibit 4.1'!B44</f>
        <v>2022</v>
      </c>
      <c r="B44" s="95"/>
      <c r="C44" s="124">
        <f>SUMIFS('Exhibit 4.2'!L:L,'Exhibit 4.2'!A:A,$A44)</f>
        <v>8.0000000000000002E-3</v>
      </c>
      <c r="D44" s="126"/>
      <c r="E44" s="124">
        <f>SUMIFS('Exhibit 4.3'!G:G,'Exhibit 4.3'!A:A,$A44)</f>
        <v>0</v>
      </c>
      <c r="F44" s="127"/>
      <c r="G44" s="126">
        <f t="shared" si="4"/>
        <v>8.0000000000000071E-3</v>
      </c>
      <c r="H44" s="95"/>
      <c r="I44" s="20">
        <f t="shared" si="1"/>
        <v>1.0130560920479998</v>
      </c>
      <c r="K44" s="130">
        <v>1.0130560920479998</v>
      </c>
    </row>
    <row r="45" spans="1:11" s="147" customFormat="1">
      <c r="A45" s="28">
        <f>+'Exhibit 4.1'!B45</f>
        <v>2023</v>
      </c>
      <c r="B45" s="95"/>
      <c r="C45" s="124">
        <f>SUMIFS('Exhibit 4.2'!L:L,'Exhibit 4.2'!A:A,$A45)</f>
        <v>2E-3</v>
      </c>
      <c r="D45" s="126"/>
      <c r="E45" s="124">
        <f>SUMIFS('Exhibit 4.3'!G:G,'Exhibit 4.3'!A:A,$A45)</f>
        <v>0</v>
      </c>
      <c r="F45" s="127"/>
      <c r="G45" s="126">
        <f t="shared" si="4"/>
        <v>2.0000000000000018E-3</v>
      </c>
      <c r="H45" s="95"/>
      <c r="I45" s="20">
        <f t="shared" si="1"/>
        <v>1.0110340239999998</v>
      </c>
      <c r="K45" s="130">
        <v>1.0110340239999998</v>
      </c>
    </row>
    <row r="46" spans="1:11" s="199" customFormat="1">
      <c r="A46" s="28">
        <f>+'Exhibit 4.1'!B46</f>
        <v>2024</v>
      </c>
      <c r="B46" s="95"/>
      <c r="C46" s="124">
        <f>SUMIFS('Exhibit 4.2'!L:L,'Exhibit 4.2'!A:A,$A46)</f>
        <v>4.0000000000000001E-3</v>
      </c>
      <c r="D46" s="126"/>
      <c r="E46" s="124">
        <f>SUMIFS('Exhibit 4.3'!G:G,'Exhibit 4.3'!A:A,$A46)</f>
        <v>0</v>
      </c>
      <c r="F46" s="127"/>
      <c r="G46" s="126">
        <f t="shared" si="4"/>
        <v>4.0000000000000036E-3</v>
      </c>
      <c r="H46" s="95"/>
      <c r="I46" s="121">
        <v>1.0070059999999998</v>
      </c>
      <c r="K46" s="130">
        <v>1.0070059999999998</v>
      </c>
    </row>
    <row r="47" spans="1:11" s="179" customFormat="1">
      <c r="A47" s="28">
        <f>+'Exhibit 4.1'!B47</f>
        <v>2025</v>
      </c>
      <c r="B47" s="95"/>
      <c r="C47" s="124">
        <f>SUMIFS('Exhibit 4.2'!L:L,'Exhibit 4.2'!A:A,$A47)</f>
        <v>6.0000000000000001E-3</v>
      </c>
      <c r="D47" s="126"/>
      <c r="E47" s="124">
        <f>SUMIFS('Exhibit 4.3'!G:G,'Exhibit 4.3'!A:A,$A47)</f>
        <v>0</v>
      </c>
      <c r="F47" s="127"/>
      <c r="G47" s="126">
        <f t="shared" si="4"/>
        <v>6.0000000000000053E-3</v>
      </c>
      <c r="H47" s="95"/>
      <c r="I47" s="135"/>
    </row>
    <row r="48" spans="1:11">
      <c r="A48" s="41" t="str">
        <f>+'Exhibit 4.1'!B48</f>
        <v>9/1/2025</v>
      </c>
      <c r="B48" s="95"/>
      <c r="C48" s="124">
        <f>SUMIFS('Exhibit 4.2'!L:L,'Exhibit 4.2'!A:A,$A48)</f>
        <v>1E-3</v>
      </c>
      <c r="D48" s="127"/>
      <c r="E48" s="124">
        <f>SUMIFS('Exhibit 4.3'!G:G,'Exhibit 4.3'!A:A,$A48)</f>
        <v>0</v>
      </c>
      <c r="F48" s="127"/>
      <c r="G48" s="126">
        <f t="shared" si="0"/>
        <v>9.9999999999988987E-4</v>
      </c>
      <c r="H48" s="95"/>
      <c r="I48" s="130"/>
    </row>
    <row r="49" spans="1:11">
      <c r="A49" s="28"/>
      <c r="B49" s="95"/>
      <c r="C49" s="95"/>
      <c r="D49" s="95"/>
      <c r="E49" s="95"/>
      <c r="F49" s="95"/>
      <c r="G49" s="95"/>
      <c r="H49" s="95"/>
      <c r="I49" s="95"/>
    </row>
    <row r="50" spans="1:11">
      <c r="A50" s="29" t="s">
        <v>22</v>
      </c>
      <c r="B50" s="129" t="s">
        <v>112</v>
      </c>
      <c r="C50" s="56"/>
      <c r="D50" s="56"/>
      <c r="E50" s="56"/>
      <c r="F50" s="56"/>
      <c r="G50" s="56"/>
      <c r="H50" s="56"/>
      <c r="I50" s="56"/>
    </row>
    <row r="51" spans="1:11">
      <c r="A51" s="29" t="s">
        <v>26</v>
      </c>
      <c r="B51" s="129" t="s">
        <v>113</v>
      </c>
      <c r="C51" s="56"/>
      <c r="D51" s="56"/>
      <c r="E51" s="56"/>
      <c r="F51" s="56"/>
      <c r="G51" s="56"/>
      <c r="H51" s="56"/>
      <c r="I51" s="56"/>
    </row>
    <row r="52" spans="1:11">
      <c r="A52" s="29" t="s">
        <v>34</v>
      </c>
      <c r="B52" s="129" t="s">
        <v>114</v>
      </c>
      <c r="C52" s="56"/>
      <c r="D52" s="56"/>
      <c r="E52" s="56"/>
      <c r="F52" s="56"/>
      <c r="G52" s="56"/>
      <c r="H52" s="56"/>
      <c r="I52" s="56"/>
    </row>
    <row r="53" spans="1:11">
      <c r="A53" s="128" t="s">
        <v>49</v>
      </c>
      <c r="B53" s="129" t="s">
        <v>474</v>
      </c>
      <c r="C53" s="56"/>
      <c r="D53" s="56"/>
      <c r="E53" s="56"/>
      <c r="F53" s="56"/>
      <c r="G53" s="56"/>
      <c r="H53" s="56"/>
      <c r="I53" s="56"/>
    </row>
    <row r="54" spans="1:11" ht="39.950000000000003" customHeight="1">
      <c r="A54" s="128" t="s">
        <v>36</v>
      </c>
      <c r="B54" s="436" t="s">
        <v>409</v>
      </c>
      <c r="C54" s="436"/>
      <c r="D54" s="436"/>
      <c r="E54" s="436"/>
      <c r="F54" s="436"/>
      <c r="G54" s="436"/>
      <c r="H54" s="436"/>
      <c r="I54" s="436"/>
      <c r="J54" s="436"/>
      <c r="K54" s="436"/>
    </row>
    <row r="55" spans="1:11">
      <c r="A55" s="33"/>
      <c r="B55" s="33"/>
      <c r="C55" s="33"/>
      <c r="D55" s="33"/>
      <c r="E55" s="33"/>
      <c r="F55" s="33"/>
      <c r="G55" s="33"/>
      <c r="H55" s="33"/>
    </row>
  </sheetData>
  <mergeCells count="1">
    <mergeCell ref="B54:K54"/>
  </mergeCells>
  <printOptions horizontalCentered="1"/>
  <pageMargins left="0.5" right="0.5" top="0.75" bottom="0.75" header="0.33" footer="0.33"/>
  <pageSetup scale="88" orientation="portrait" blackAndWhite="1" r:id="rId1"/>
  <headerFooter scaleWithDoc="0">
    <oddHeader>&amp;R&amp;"Arial,Regular"&amp;10Exhibit 4.4</oddHeader>
  </headerFooter>
  <ignoredErrors>
    <ignoredError sqref="C3:I3 K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I56"/>
  <sheetViews>
    <sheetView zoomScaleNormal="100" zoomScaleSheetLayoutView="100" workbookViewId="0"/>
  </sheetViews>
  <sheetFormatPr defaultColWidth="9.140625" defaultRowHeight="12.75"/>
  <cols>
    <col min="1" max="1" width="12.85546875" style="53" customWidth="1"/>
    <col min="2" max="2" width="7.85546875" style="53" customWidth="1"/>
    <col min="3" max="3" width="12.85546875" style="53" customWidth="1"/>
    <col min="4" max="4" width="12.85546875" style="53" bestFit="1" customWidth="1"/>
    <col min="5" max="5" width="12.85546875" style="53" customWidth="1"/>
    <col min="6" max="6" width="12.85546875" style="53" bestFit="1" customWidth="1"/>
    <col min="7" max="7" width="17.85546875" style="53" customWidth="1"/>
    <col min="8" max="16384" width="9.140625" style="53"/>
  </cols>
  <sheetData>
    <row r="1" spans="1:9">
      <c r="A1" s="111" t="s">
        <v>115</v>
      </c>
      <c r="B1" s="111"/>
      <c r="C1" s="111"/>
      <c r="D1" s="111"/>
      <c r="E1" s="111"/>
      <c r="F1" s="111"/>
      <c r="G1" s="111"/>
      <c r="H1" s="54"/>
      <c r="I1" s="54"/>
    </row>
    <row r="2" spans="1:9">
      <c r="A2" s="219"/>
      <c r="B2" s="219"/>
      <c r="C2" s="219"/>
      <c r="D2" s="219"/>
      <c r="E2" s="220"/>
      <c r="F2" s="219"/>
      <c r="G2" s="220"/>
      <c r="H2" s="54"/>
      <c r="I2" s="54"/>
    </row>
    <row r="3" spans="1:9">
      <c r="A3" s="219"/>
      <c r="B3" s="219"/>
      <c r="C3" s="219"/>
      <c r="D3" s="219"/>
      <c r="E3" s="220"/>
      <c r="F3" s="219"/>
      <c r="G3" s="220"/>
      <c r="H3" s="54"/>
      <c r="I3" s="54"/>
    </row>
    <row r="4" spans="1:9">
      <c r="A4" s="219"/>
      <c r="B4" s="219"/>
      <c r="C4" s="219"/>
      <c r="D4" s="219"/>
      <c r="E4" s="220"/>
      <c r="F4" s="219"/>
      <c r="G4" s="220"/>
      <c r="H4" s="54"/>
      <c r="I4" s="54"/>
    </row>
    <row r="5" spans="1:9">
      <c r="A5" s="219"/>
      <c r="B5" s="219"/>
      <c r="C5" s="219"/>
      <c r="D5" s="219"/>
      <c r="E5" s="220"/>
      <c r="F5" s="219"/>
      <c r="G5" s="220"/>
      <c r="H5" s="54"/>
      <c r="I5" s="54"/>
    </row>
    <row r="6" spans="1:9">
      <c r="A6" s="219"/>
      <c r="B6" s="219"/>
      <c r="C6" s="29" t="s">
        <v>38</v>
      </c>
      <c r="D6" s="29"/>
      <c r="E6" s="29" t="s">
        <v>39</v>
      </c>
      <c r="F6" s="28"/>
      <c r="G6" s="29" t="s">
        <v>40</v>
      </c>
      <c r="H6" s="54"/>
      <c r="I6" s="54"/>
    </row>
    <row r="7" spans="1:9">
      <c r="A7" s="219"/>
      <c r="B7" s="219"/>
      <c r="C7" s="29"/>
      <c r="D7" s="29"/>
      <c r="E7" s="29" t="s">
        <v>44</v>
      </c>
      <c r="F7" s="28"/>
      <c r="G7" s="20" t="s">
        <v>74</v>
      </c>
      <c r="H7" s="54"/>
      <c r="I7" s="54"/>
    </row>
    <row r="8" spans="1:9">
      <c r="A8" s="28"/>
      <c r="B8" s="281"/>
      <c r="C8" s="84" t="s">
        <v>116</v>
      </c>
      <c r="D8" s="281"/>
      <c r="E8" s="84" t="s">
        <v>116</v>
      </c>
      <c r="F8" s="281"/>
      <c r="G8" s="20" t="str">
        <f>TEXT($A$51,"m/d/yyyy")</f>
        <v>9/1/2025</v>
      </c>
      <c r="H8" s="54"/>
      <c r="I8" s="54"/>
    </row>
    <row r="9" spans="1:9">
      <c r="A9" s="30" t="s">
        <v>8</v>
      </c>
      <c r="B9" s="280"/>
      <c r="C9" s="221" t="s">
        <v>263</v>
      </c>
      <c r="D9" s="280"/>
      <c r="E9" s="221" t="s">
        <v>318</v>
      </c>
      <c r="F9" s="280"/>
      <c r="G9" s="218" t="s">
        <v>319</v>
      </c>
      <c r="H9" s="54"/>
      <c r="I9" s="54"/>
    </row>
    <row r="10" spans="1:9">
      <c r="A10" s="28">
        <v>1987</v>
      </c>
      <c r="B10" s="280"/>
      <c r="C10" s="376">
        <v>5.6000000000000005</v>
      </c>
      <c r="D10" s="377"/>
      <c r="E10" s="376"/>
      <c r="F10" s="280"/>
      <c r="G10" s="20">
        <f>G11*(1+C11/100)</f>
        <v>3.9182479343030203</v>
      </c>
      <c r="H10" s="54"/>
      <c r="I10" s="54"/>
    </row>
    <row r="11" spans="1:9">
      <c r="A11" s="28">
        <f>A10+1</f>
        <v>1988</v>
      </c>
      <c r="B11" s="160"/>
      <c r="C11" s="376">
        <v>4.3999999999999995</v>
      </c>
      <c r="D11" s="378"/>
      <c r="E11" s="376"/>
      <c r="F11" s="281"/>
      <c r="G11" s="20">
        <f t="shared" ref="G11:G41" si="0">G12*(1+C12/100)</f>
        <v>3.7531110481829697</v>
      </c>
      <c r="H11" s="54"/>
      <c r="I11" s="61"/>
    </row>
    <row r="12" spans="1:9">
      <c r="A12" s="28">
        <f t="shared" ref="A12:A46" si="1">A11+1</f>
        <v>1989</v>
      </c>
      <c r="B12" s="160"/>
      <c r="C12" s="376">
        <v>4.3</v>
      </c>
      <c r="D12" s="378"/>
      <c r="E12" s="376"/>
      <c r="F12" s="281"/>
      <c r="G12" s="20">
        <f t="shared" si="0"/>
        <v>3.5983806789865485</v>
      </c>
      <c r="H12" s="54"/>
      <c r="I12" s="61"/>
    </row>
    <row r="13" spans="1:9">
      <c r="A13" s="28">
        <f t="shared" si="1"/>
        <v>1990</v>
      </c>
      <c r="B13" s="160"/>
      <c r="C13" s="376">
        <v>5</v>
      </c>
      <c r="D13" s="378"/>
      <c r="E13" s="376"/>
      <c r="F13" s="281"/>
      <c r="G13" s="20">
        <f t="shared" si="0"/>
        <v>3.4270292180824269</v>
      </c>
      <c r="H13" s="54"/>
      <c r="I13" s="61"/>
    </row>
    <row r="14" spans="1:9">
      <c r="A14" s="28">
        <f t="shared" si="1"/>
        <v>1991</v>
      </c>
      <c r="B14" s="160"/>
      <c r="C14" s="376">
        <v>2.2999999999999998</v>
      </c>
      <c r="D14" s="378"/>
      <c r="E14" s="376"/>
      <c r="F14" s="281"/>
      <c r="G14" s="20">
        <f t="shared" si="0"/>
        <v>3.3499796853200658</v>
      </c>
      <c r="H14" s="54"/>
      <c r="I14" s="61"/>
    </row>
    <row r="15" spans="1:9">
      <c r="A15" s="28">
        <f t="shared" si="1"/>
        <v>1992</v>
      </c>
      <c r="B15" s="160"/>
      <c r="C15" s="376">
        <v>4.7</v>
      </c>
      <c r="D15" s="378"/>
      <c r="E15" s="376"/>
      <c r="F15" s="281"/>
      <c r="G15" s="20">
        <f t="shared" si="0"/>
        <v>3.1995985533142943</v>
      </c>
      <c r="H15" s="54"/>
      <c r="I15" s="61"/>
    </row>
    <row r="16" spans="1:9">
      <c r="A16" s="28">
        <f t="shared" si="1"/>
        <v>1993</v>
      </c>
      <c r="B16" s="160"/>
      <c r="C16" s="376">
        <v>1.2</v>
      </c>
      <c r="D16" s="378"/>
      <c r="E16" s="376"/>
      <c r="F16" s="281"/>
      <c r="G16" s="20">
        <f t="shared" si="0"/>
        <v>3.1616586495200538</v>
      </c>
      <c r="H16" s="54"/>
      <c r="I16" s="61"/>
    </row>
    <row r="17" spans="1:9">
      <c r="A17" s="28">
        <f t="shared" si="1"/>
        <v>1994</v>
      </c>
      <c r="B17" s="160"/>
      <c r="C17" s="376">
        <v>1.9</v>
      </c>
      <c r="D17" s="378"/>
      <c r="E17" s="376"/>
      <c r="F17" s="281"/>
      <c r="G17" s="20">
        <f t="shared" si="0"/>
        <v>3.1027072124828794</v>
      </c>
      <c r="H17" s="54"/>
      <c r="I17" s="61"/>
    </row>
    <row r="18" spans="1:9">
      <c r="A18" s="28">
        <f t="shared" si="1"/>
        <v>1995</v>
      </c>
      <c r="B18" s="160"/>
      <c r="C18" s="376">
        <v>2.9000000000000004</v>
      </c>
      <c r="D18" s="378"/>
      <c r="E18" s="376"/>
      <c r="F18" s="281"/>
      <c r="G18" s="20">
        <f t="shared" si="0"/>
        <v>3.0152645407996888</v>
      </c>
      <c r="H18" s="54"/>
      <c r="I18" s="61"/>
    </row>
    <row r="19" spans="1:9">
      <c r="A19" s="28">
        <f t="shared" si="1"/>
        <v>1996</v>
      </c>
      <c r="B19" s="160"/>
      <c r="C19" s="376">
        <v>3.4000000000000004</v>
      </c>
      <c r="D19" s="378"/>
      <c r="E19" s="376"/>
      <c r="F19" s="281"/>
      <c r="G19" s="20">
        <f t="shared" si="0"/>
        <v>2.9161165771757145</v>
      </c>
      <c r="H19" s="54"/>
      <c r="I19" s="61"/>
    </row>
    <row r="20" spans="1:9">
      <c r="A20" s="28">
        <f t="shared" si="1"/>
        <v>1997</v>
      </c>
      <c r="B20" s="160"/>
      <c r="C20" s="376">
        <v>4.7</v>
      </c>
      <c r="D20" s="378"/>
      <c r="E20" s="376"/>
      <c r="F20" s="281"/>
      <c r="G20" s="20">
        <f t="shared" si="0"/>
        <v>2.7852116305403198</v>
      </c>
      <c r="H20" s="54"/>
      <c r="I20" s="61"/>
    </row>
    <row r="21" spans="1:9">
      <c r="A21" s="28">
        <f t="shared" si="1"/>
        <v>1998</v>
      </c>
      <c r="B21" s="160"/>
      <c r="C21" s="376">
        <v>5.2</v>
      </c>
      <c r="D21" s="378"/>
      <c r="E21" s="376"/>
      <c r="F21" s="281"/>
      <c r="G21" s="20">
        <f t="shared" si="0"/>
        <v>2.6475395727569579</v>
      </c>
      <c r="H21" s="54"/>
      <c r="I21" s="61"/>
    </row>
    <row r="22" spans="1:9">
      <c r="A22" s="28">
        <f t="shared" si="1"/>
        <v>1999</v>
      </c>
      <c r="B22" s="160"/>
      <c r="C22" s="376">
        <v>6.2</v>
      </c>
      <c r="D22" s="378"/>
      <c r="E22" s="376"/>
      <c r="F22" s="281"/>
      <c r="G22" s="20">
        <f>G23*(1+C23/100)</f>
        <v>2.4929751155903559</v>
      </c>
      <c r="H22" s="54"/>
      <c r="I22" s="61"/>
    </row>
    <row r="23" spans="1:9">
      <c r="A23" s="28">
        <f t="shared" si="1"/>
        <v>2000</v>
      </c>
      <c r="B23" s="160"/>
      <c r="C23" s="376">
        <v>9</v>
      </c>
      <c r="D23" s="378"/>
      <c r="E23" s="376"/>
      <c r="F23" s="281"/>
      <c r="G23" s="20">
        <f t="shared" si="0"/>
        <v>2.2871331335691338</v>
      </c>
      <c r="H23" s="54"/>
      <c r="I23" s="61"/>
    </row>
    <row r="24" spans="1:9">
      <c r="A24" s="28">
        <f t="shared" si="1"/>
        <v>2001</v>
      </c>
      <c r="B24" s="160"/>
      <c r="C24" s="376">
        <v>0.6</v>
      </c>
      <c r="D24" s="378"/>
      <c r="E24" s="376"/>
      <c r="F24" s="281"/>
      <c r="G24" s="20">
        <f t="shared" si="0"/>
        <v>2.2734921804862167</v>
      </c>
      <c r="H24" s="54"/>
      <c r="I24" s="61"/>
    </row>
    <row r="25" spans="1:9">
      <c r="A25" s="28">
        <f t="shared" si="1"/>
        <v>2002</v>
      </c>
      <c r="B25" s="160"/>
      <c r="C25" s="376">
        <v>0.5</v>
      </c>
      <c r="D25" s="378"/>
      <c r="E25" s="376"/>
      <c r="F25" s="281"/>
      <c r="G25" s="20">
        <f t="shared" si="0"/>
        <v>2.2621812741156386</v>
      </c>
      <c r="H25" s="54"/>
      <c r="I25" s="61"/>
    </row>
    <row r="26" spans="1:9">
      <c r="A26" s="28">
        <f t="shared" si="1"/>
        <v>2003</v>
      </c>
      <c r="B26" s="160"/>
      <c r="C26" s="376">
        <v>3.3000000000000003</v>
      </c>
      <c r="D26" s="378"/>
      <c r="E26" s="376"/>
      <c r="F26" s="281"/>
      <c r="G26" s="20">
        <f t="shared" si="0"/>
        <v>2.1899141085340164</v>
      </c>
      <c r="H26" s="54"/>
      <c r="I26" s="61"/>
    </row>
    <row r="27" spans="1:9">
      <c r="A27" s="28">
        <f t="shared" si="1"/>
        <v>2004</v>
      </c>
      <c r="B27" s="160"/>
      <c r="C27" s="376">
        <v>4.7</v>
      </c>
      <c r="D27" s="378"/>
      <c r="E27" s="376"/>
      <c r="F27" s="281"/>
      <c r="G27" s="20">
        <f t="shared" si="0"/>
        <v>2.0916085086284779</v>
      </c>
      <c r="H27" s="54"/>
      <c r="I27" s="61"/>
    </row>
    <row r="28" spans="1:9">
      <c r="A28" s="28">
        <f t="shared" si="1"/>
        <v>2005</v>
      </c>
      <c r="B28" s="160"/>
      <c r="C28" s="376">
        <v>3.1</v>
      </c>
      <c r="D28" s="378"/>
      <c r="E28" s="376"/>
      <c r="F28" s="281"/>
      <c r="G28" s="20">
        <f t="shared" si="0"/>
        <v>2.0287182430926074</v>
      </c>
      <c r="H28" s="54"/>
      <c r="I28" s="61"/>
    </row>
    <row r="29" spans="1:9">
      <c r="A29" s="28">
        <f t="shared" si="1"/>
        <v>2006</v>
      </c>
      <c r="B29" s="160"/>
      <c r="C29" s="376">
        <v>4.5999999999999996</v>
      </c>
      <c r="D29" s="378"/>
      <c r="E29" s="376"/>
      <c r="F29" s="281"/>
      <c r="G29" s="20">
        <f t="shared" si="0"/>
        <v>1.9395011884250546</v>
      </c>
      <c r="H29" s="54"/>
      <c r="I29" s="61"/>
    </row>
    <row r="30" spans="1:9">
      <c r="A30" s="28">
        <f t="shared" si="1"/>
        <v>2007</v>
      </c>
      <c r="B30" s="160"/>
      <c r="C30" s="376">
        <v>4.5</v>
      </c>
      <c r="D30" s="378"/>
      <c r="E30" s="376"/>
      <c r="F30" s="281"/>
      <c r="G30" s="20">
        <f>G31*(1+C31/100)</f>
        <v>1.8559819984928754</v>
      </c>
      <c r="H30" s="54"/>
      <c r="I30" s="61"/>
    </row>
    <row r="31" spans="1:9">
      <c r="A31" s="28">
        <f t="shared" si="1"/>
        <v>2008</v>
      </c>
      <c r="B31" s="160"/>
      <c r="C31" s="376">
        <v>2.1</v>
      </c>
      <c r="D31" s="378"/>
      <c r="E31" s="376"/>
      <c r="F31" s="281"/>
      <c r="G31" s="20">
        <f t="shared" si="0"/>
        <v>1.817808029865696</v>
      </c>
      <c r="H31" s="54"/>
      <c r="I31" s="61"/>
    </row>
    <row r="32" spans="1:9">
      <c r="A32" s="28">
        <f t="shared" si="1"/>
        <v>2009</v>
      </c>
      <c r="B32" s="160"/>
      <c r="C32" s="376">
        <v>0.4</v>
      </c>
      <c r="D32" s="378"/>
      <c r="E32" s="376"/>
      <c r="F32" s="281"/>
      <c r="G32" s="20">
        <f t="shared" si="0"/>
        <v>1.810565766798502</v>
      </c>
      <c r="H32" s="54"/>
      <c r="I32" s="61"/>
    </row>
    <row r="33" spans="1:9">
      <c r="A33" s="28">
        <f t="shared" si="1"/>
        <v>2010</v>
      </c>
      <c r="B33" s="160"/>
      <c r="C33" s="376">
        <v>3</v>
      </c>
      <c r="D33" s="378"/>
      <c r="E33" s="376"/>
      <c r="F33" s="281"/>
      <c r="G33" s="20">
        <f t="shared" si="0"/>
        <v>1.7578308415519437</v>
      </c>
      <c r="H33" s="54"/>
      <c r="I33" s="61"/>
    </row>
    <row r="34" spans="1:9">
      <c r="A34" s="28">
        <f t="shared" si="1"/>
        <v>2011</v>
      </c>
      <c r="B34" s="160"/>
      <c r="C34" s="376">
        <v>3</v>
      </c>
      <c r="D34" s="378"/>
      <c r="E34" s="376"/>
      <c r="F34" s="281"/>
      <c r="G34" s="20">
        <f t="shared" si="0"/>
        <v>1.7066318850018871</v>
      </c>
      <c r="H34" s="54"/>
      <c r="I34" s="61"/>
    </row>
    <row r="35" spans="1:9">
      <c r="A35" s="28">
        <f t="shared" si="1"/>
        <v>2012</v>
      </c>
      <c r="B35" s="160"/>
      <c r="C35" s="376">
        <v>4.2</v>
      </c>
      <c r="D35" s="378"/>
      <c r="E35" s="376"/>
      <c r="F35" s="281"/>
      <c r="G35" s="20">
        <f t="shared" si="0"/>
        <v>1.6378425000018111</v>
      </c>
      <c r="H35" s="54"/>
      <c r="I35" s="61"/>
    </row>
    <row r="36" spans="1:9">
      <c r="A36" s="28">
        <f t="shared" si="1"/>
        <v>2013</v>
      </c>
      <c r="B36" s="160"/>
      <c r="C36" s="376">
        <v>0.70000000000000007</v>
      </c>
      <c r="D36" s="378"/>
      <c r="E36" s="376"/>
      <c r="F36" s="281"/>
      <c r="G36" s="20">
        <f t="shared" si="0"/>
        <v>1.6264572989094452</v>
      </c>
      <c r="H36" s="54"/>
      <c r="I36" s="61"/>
    </row>
    <row r="37" spans="1:9">
      <c r="A37" s="28">
        <f t="shared" si="1"/>
        <v>2014</v>
      </c>
      <c r="B37" s="160"/>
      <c r="C37" s="376">
        <v>3.3000000000000003</v>
      </c>
      <c r="D37" s="378"/>
      <c r="E37" s="376"/>
      <c r="F37" s="281"/>
      <c r="G37" s="20">
        <f t="shared" si="0"/>
        <v>1.5744988372792308</v>
      </c>
      <c r="H37" s="54"/>
      <c r="I37" s="61"/>
    </row>
    <row r="38" spans="1:9">
      <c r="A38" s="28">
        <f t="shared" si="1"/>
        <v>2015</v>
      </c>
      <c r="B38" s="160"/>
      <c r="C38" s="376">
        <v>4.5</v>
      </c>
      <c r="D38" s="378"/>
      <c r="E38" s="376"/>
      <c r="F38" s="281"/>
      <c r="G38" s="20">
        <f t="shared" si="0"/>
        <v>1.5066974519418477</v>
      </c>
      <c r="H38" s="54"/>
      <c r="I38" s="61"/>
    </row>
    <row r="39" spans="1:9">
      <c r="A39" s="28">
        <f t="shared" si="1"/>
        <v>2016</v>
      </c>
      <c r="B39" s="160"/>
      <c r="C39" s="376">
        <v>2</v>
      </c>
      <c r="D39" s="378"/>
      <c r="E39" s="376"/>
      <c r="F39" s="281"/>
      <c r="G39" s="20">
        <f t="shared" si="0"/>
        <v>1.4771543646488703</v>
      </c>
      <c r="H39" s="54"/>
      <c r="I39" s="61"/>
    </row>
    <row r="40" spans="1:9">
      <c r="A40" s="28">
        <f t="shared" si="1"/>
        <v>2017</v>
      </c>
      <c r="B40" s="160"/>
      <c r="C40" s="376">
        <v>4.3</v>
      </c>
      <c r="D40" s="378"/>
      <c r="E40" s="376"/>
      <c r="F40" s="281"/>
      <c r="G40" s="20">
        <f t="shared" si="0"/>
        <v>1.4162553831724549</v>
      </c>
      <c r="H40" s="54"/>
      <c r="I40" s="61"/>
    </row>
    <row r="41" spans="1:9">
      <c r="A41" s="28">
        <f t="shared" si="1"/>
        <v>2018</v>
      </c>
      <c r="B41" s="160"/>
      <c r="C41" s="376">
        <v>3.6999999999999997</v>
      </c>
      <c r="D41" s="378"/>
      <c r="E41" s="376"/>
      <c r="F41" s="281"/>
      <c r="G41" s="20">
        <f t="shared" si="0"/>
        <v>1.3657236096166394</v>
      </c>
      <c r="H41" s="54"/>
      <c r="I41" s="61"/>
    </row>
    <row r="42" spans="1:9">
      <c r="A42" s="28">
        <f t="shared" si="1"/>
        <v>2019</v>
      </c>
      <c r="B42" s="160"/>
      <c r="C42" s="376">
        <v>4.3</v>
      </c>
      <c r="D42" s="378"/>
      <c r="E42" s="376"/>
      <c r="F42" s="281"/>
      <c r="G42" s="121">
        <f>G43*(1+E43/100)</f>
        <v>1.3094186094119267</v>
      </c>
      <c r="H42" s="54"/>
      <c r="I42" s="61"/>
    </row>
    <row r="43" spans="1:9">
      <c r="A43" s="28">
        <f t="shared" si="1"/>
        <v>2020</v>
      </c>
      <c r="B43" s="160"/>
      <c r="C43" s="376">
        <v>11.4</v>
      </c>
      <c r="D43" s="378"/>
      <c r="E43" s="376">
        <v>5.1100000000000003</v>
      </c>
      <c r="F43" s="281"/>
      <c r="G43" s="121">
        <f t="shared" ref="G43:G44" si="2">G44*(1+E44/100)</f>
        <v>1.2457602601198048</v>
      </c>
      <c r="H43" s="54"/>
      <c r="I43" s="61"/>
    </row>
    <row r="44" spans="1:9">
      <c r="A44" s="28">
        <f t="shared" si="1"/>
        <v>2021</v>
      </c>
      <c r="B44" s="160"/>
      <c r="C44" s="376">
        <v>7.7</v>
      </c>
      <c r="D44" s="378"/>
      <c r="E44" s="376">
        <v>6.25</v>
      </c>
      <c r="F44" s="318"/>
      <c r="G44" s="121">
        <f t="shared" si="2"/>
        <v>1.1724802448186398</v>
      </c>
      <c r="H44" s="54"/>
      <c r="I44" s="61"/>
    </row>
    <row r="45" spans="1:9">
      <c r="A45" s="28">
        <f t="shared" si="1"/>
        <v>2022</v>
      </c>
      <c r="B45" s="160"/>
      <c r="C45" s="376">
        <v>3.4000000000000004</v>
      </c>
      <c r="D45" s="378"/>
      <c r="E45" s="376">
        <v>3.7600000000000002</v>
      </c>
      <c r="F45" s="323"/>
      <c r="G45" s="130">
        <v>1.1299925258468</v>
      </c>
      <c r="H45" s="54"/>
      <c r="I45" s="61"/>
    </row>
    <row r="46" spans="1:9">
      <c r="A46" s="28">
        <f t="shared" si="1"/>
        <v>2023</v>
      </c>
      <c r="B46" s="281"/>
      <c r="C46" s="376">
        <v>3.2</v>
      </c>
      <c r="D46" s="379"/>
      <c r="E46" s="376"/>
      <c r="F46" s="211"/>
      <c r="G46" s="130">
        <v>1.094847908</v>
      </c>
      <c r="H46" s="54"/>
      <c r="I46" s="54"/>
    </row>
    <row r="47" spans="1:9">
      <c r="A47" s="54"/>
      <c r="B47" s="160"/>
      <c r="C47" s="376"/>
      <c r="D47" s="378"/>
      <c r="E47" s="376"/>
      <c r="F47" s="54"/>
      <c r="G47" s="40"/>
      <c r="H47" s="54"/>
      <c r="I47" s="54"/>
    </row>
    <row r="48" spans="1:9">
      <c r="A48" s="28" t="s">
        <v>254</v>
      </c>
      <c r="B48" s="54"/>
      <c r="C48" s="379"/>
      <c r="D48" s="379"/>
      <c r="E48" s="379"/>
      <c r="F48" s="54"/>
      <c r="G48" s="54"/>
    </row>
    <row r="49" spans="1:9">
      <c r="A49" s="28">
        <f>A46+1</f>
        <v>2024</v>
      </c>
      <c r="B49" s="281"/>
      <c r="C49" s="376">
        <v>5.0500000000000007</v>
      </c>
      <c r="D49" s="379"/>
      <c r="E49" s="376"/>
      <c r="F49" s="211"/>
      <c r="G49" s="20"/>
    </row>
    <row r="50" spans="1:9">
      <c r="A50" s="28">
        <f>A49+1</f>
        <v>2025</v>
      </c>
      <c r="B50" s="281"/>
      <c r="C50" s="376">
        <v>3.61</v>
      </c>
      <c r="D50" s="379"/>
      <c r="E50" s="376"/>
      <c r="F50" s="54"/>
      <c r="G50" s="20"/>
    </row>
    <row r="51" spans="1:9">
      <c r="A51" s="41" t="str">
        <f>'Exhibit 4.1'!$B$48</f>
        <v>9/1/2025</v>
      </c>
      <c r="B51" s="281"/>
      <c r="C51" s="376">
        <v>0.60166666666666657</v>
      </c>
      <c r="D51" s="379" t="s">
        <v>475</v>
      </c>
      <c r="E51" s="376"/>
      <c r="F51" s="281"/>
      <c r="G51" s="281"/>
    </row>
    <row r="52" spans="1:9">
      <c r="A52" s="28"/>
      <c r="B52" s="281"/>
      <c r="C52" s="281"/>
      <c r="D52" s="281"/>
      <c r="E52" s="161"/>
      <c r="F52" s="281"/>
      <c r="G52" s="40"/>
    </row>
    <row r="53" spans="1:9" ht="65.25" customHeight="1">
      <c r="A53" s="31" t="s">
        <v>22</v>
      </c>
      <c r="B53" s="436" t="s">
        <v>394</v>
      </c>
      <c r="C53" s="436"/>
      <c r="D53" s="436"/>
      <c r="E53" s="436"/>
      <c r="F53" s="436"/>
      <c r="G53" s="436"/>
    </row>
    <row r="54" spans="1:9" ht="39.950000000000003" customHeight="1">
      <c r="A54" s="31" t="s">
        <v>26</v>
      </c>
      <c r="B54" s="443" t="s">
        <v>370</v>
      </c>
      <c r="C54" s="443"/>
      <c r="D54" s="443"/>
      <c r="E54" s="443"/>
      <c r="F54" s="443"/>
      <c r="G54" s="443"/>
      <c r="H54" s="54"/>
      <c r="I54" s="54"/>
    </row>
    <row r="55" spans="1:9" ht="12.6" customHeight="1">
      <c r="A55" s="267" t="s">
        <v>320</v>
      </c>
      <c r="B55" s="281" t="s">
        <v>334</v>
      </c>
      <c r="C55" s="211"/>
      <c r="D55" s="211"/>
      <c r="E55" s="54"/>
      <c r="F55" s="54"/>
      <c r="G55" s="54"/>
      <c r="H55" s="54"/>
      <c r="I55" s="54"/>
    </row>
    <row r="56" spans="1:9">
      <c r="A56" s="54"/>
      <c r="B56" s="211"/>
      <c r="C56" s="211"/>
      <c r="D56" s="211"/>
      <c r="E56" s="54"/>
      <c r="F56" s="54"/>
      <c r="G56" s="54"/>
      <c r="H56" s="54"/>
      <c r="I56" s="54"/>
    </row>
  </sheetData>
  <mergeCells count="2">
    <mergeCell ref="B53:G53"/>
    <mergeCell ref="B54:G54"/>
  </mergeCells>
  <printOptions horizontalCentered="1"/>
  <pageMargins left="0.5" right="0.5" top="0.75" bottom="0.75" header="0.33" footer="0.33"/>
  <pageSetup scale="90" orientation="portrait" blackAndWhite="1" horizontalDpi="1200" verticalDpi="1200" r:id="rId1"/>
  <headerFooter scaleWithDoc="0">
    <oddHeader>&amp;R&amp;"Arial,Regular"&amp;10Exhibit 5.1</oddHeader>
  </headerFooter>
  <ignoredErrors>
    <ignoredError sqref="C6:G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W61"/>
  <sheetViews>
    <sheetView zoomScaleNormal="100" zoomScaleSheetLayoutView="100" workbookViewId="0"/>
  </sheetViews>
  <sheetFormatPr defaultColWidth="9.140625" defaultRowHeight="12.75"/>
  <cols>
    <col min="1" max="1" width="8.42578125" style="79" customWidth="1"/>
    <col min="2" max="2" width="4" style="79" customWidth="1"/>
    <col min="3" max="3" width="6" style="79" customWidth="1"/>
    <col min="4" max="6" width="7.140625" style="79" customWidth="1"/>
    <col min="7" max="7" width="8.140625" style="79" customWidth="1"/>
    <col min="8" max="8" width="7.140625" style="79" customWidth="1"/>
    <col min="9" max="9" width="11.85546875" style="79" customWidth="1"/>
    <col min="10" max="10" width="5.85546875" style="79" customWidth="1"/>
    <col min="11" max="11" width="6" style="79" customWidth="1"/>
    <col min="12" max="12" width="6.140625" style="79" customWidth="1"/>
    <col min="13" max="13" width="9.85546875" style="79" customWidth="1"/>
    <col min="14" max="14" width="5.140625" style="79" customWidth="1"/>
    <col min="15" max="15" width="8.140625" style="79" customWidth="1"/>
    <col min="16" max="16" width="7.140625" style="79" customWidth="1"/>
    <col min="17" max="17" width="6" style="79" customWidth="1"/>
    <col min="18" max="18" width="4.5703125" style="79" customWidth="1"/>
    <col min="19" max="19" width="11.140625" style="79" bestFit="1" customWidth="1"/>
    <col min="20" max="20" width="9.140625" style="79"/>
    <col min="21" max="23" width="12.85546875" style="79" bestFit="1" customWidth="1"/>
    <col min="24" max="16384" width="9.140625" style="79"/>
  </cols>
  <sheetData>
    <row r="1" spans="1:20" ht="16.350000000000001" customHeight="1">
      <c r="A1" s="85" t="s">
        <v>117</v>
      </c>
      <c r="B1" s="85"/>
      <c r="C1" s="85"/>
      <c r="D1" s="85"/>
      <c r="E1" s="85"/>
      <c r="F1" s="85"/>
      <c r="G1" s="85"/>
      <c r="H1" s="85"/>
      <c r="I1" s="85"/>
      <c r="J1" s="85"/>
      <c r="K1" s="85"/>
      <c r="L1" s="85"/>
      <c r="M1" s="85"/>
      <c r="N1" s="85"/>
      <c r="O1" s="85"/>
      <c r="P1" s="85"/>
      <c r="Q1" s="85"/>
      <c r="R1" s="85"/>
      <c r="S1" s="85"/>
      <c r="T1" s="81"/>
    </row>
    <row r="2" spans="1:20" ht="16.350000000000001" customHeight="1">
      <c r="A2" s="82"/>
      <c r="B2" s="82"/>
      <c r="C2" s="82"/>
      <c r="D2" s="82"/>
      <c r="E2" s="82"/>
      <c r="F2" s="82"/>
      <c r="G2" s="82"/>
      <c r="H2" s="82"/>
      <c r="I2" s="82"/>
      <c r="J2" s="82"/>
      <c r="K2" s="82"/>
      <c r="L2" s="82"/>
      <c r="M2" s="82"/>
      <c r="N2" s="82"/>
      <c r="O2" s="82"/>
      <c r="P2" s="82"/>
      <c r="Q2" s="82"/>
      <c r="R2" s="82"/>
      <c r="S2" s="82"/>
      <c r="T2" s="82"/>
    </row>
    <row r="3" spans="1:20" ht="16.350000000000001" customHeight="1">
      <c r="A3" s="82"/>
      <c r="B3" s="82"/>
      <c r="C3" s="18" t="s">
        <v>38</v>
      </c>
      <c r="D3" s="82"/>
      <c r="E3" s="29" t="s">
        <v>118</v>
      </c>
      <c r="F3" s="82"/>
      <c r="G3" s="29" t="s">
        <v>119</v>
      </c>
      <c r="H3" s="82"/>
      <c r="I3" s="29" t="s">
        <v>120</v>
      </c>
      <c r="J3" s="82"/>
      <c r="K3" s="18" t="s">
        <v>40</v>
      </c>
      <c r="L3" s="82"/>
      <c r="M3" s="18" t="s">
        <v>41</v>
      </c>
      <c r="N3" s="82"/>
      <c r="O3" s="18" t="s">
        <v>42</v>
      </c>
      <c r="P3" s="82"/>
      <c r="Q3" s="29" t="s">
        <v>43</v>
      </c>
      <c r="R3" s="82"/>
      <c r="S3" s="18" t="s">
        <v>121</v>
      </c>
      <c r="T3" s="82"/>
    </row>
    <row r="4" spans="1:20" ht="16.350000000000001" customHeight="1">
      <c r="A4" s="82"/>
      <c r="B4" s="82"/>
      <c r="C4" s="82"/>
      <c r="D4" s="82"/>
      <c r="E4" s="28" t="s">
        <v>122</v>
      </c>
      <c r="F4" s="82"/>
      <c r="G4" s="28"/>
      <c r="H4" s="82"/>
      <c r="I4" s="28" t="s">
        <v>75</v>
      </c>
      <c r="J4" s="82"/>
      <c r="K4" s="82"/>
      <c r="L4" s="82"/>
      <c r="M4" s="82"/>
      <c r="N4" s="82"/>
      <c r="O4" s="82" t="s">
        <v>125</v>
      </c>
      <c r="P4" s="82"/>
      <c r="Q4" s="82"/>
      <c r="R4" s="82"/>
      <c r="S4" s="82"/>
    </row>
    <row r="5" spans="1:20" ht="16.350000000000001" customHeight="1">
      <c r="A5" s="82"/>
      <c r="B5" s="82"/>
      <c r="C5" s="82"/>
      <c r="D5" s="82"/>
      <c r="E5" s="28" t="s">
        <v>126</v>
      </c>
      <c r="F5" s="82"/>
      <c r="G5" s="41" t="s">
        <v>123</v>
      </c>
      <c r="H5" s="82"/>
      <c r="I5" s="28" t="s">
        <v>124</v>
      </c>
      <c r="J5" s="82"/>
      <c r="K5" s="82"/>
      <c r="L5" s="82"/>
      <c r="M5" s="82"/>
      <c r="N5" s="82"/>
      <c r="O5" s="82" t="s">
        <v>127</v>
      </c>
      <c r="P5" s="18"/>
      <c r="Q5" s="28" t="s">
        <v>75</v>
      </c>
      <c r="R5" s="82"/>
      <c r="S5" s="82"/>
    </row>
    <row r="6" spans="1:20" ht="16.350000000000001" customHeight="1">
      <c r="A6" s="82"/>
      <c r="B6" s="82"/>
      <c r="C6" s="82"/>
      <c r="D6" s="82"/>
      <c r="E6" s="82" t="s">
        <v>128</v>
      </c>
      <c r="F6" s="82"/>
      <c r="G6" s="28" t="s">
        <v>335</v>
      </c>
      <c r="H6" s="82"/>
      <c r="I6" s="28" t="s">
        <v>338</v>
      </c>
      <c r="J6" s="82"/>
      <c r="K6" s="82" t="s">
        <v>129</v>
      </c>
      <c r="L6" s="82"/>
      <c r="M6" s="82"/>
      <c r="N6" s="82"/>
      <c r="O6" s="82" t="s">
        <v>130</v>
      </c>
      <c r="P6" s="82"/>
      <c r="Q6" s="28" t="s">
        <v>131</v>
      </c>
      <c r="R6" s="82"/>
      <c r="S6" s="82" t="s">
        <v>56</v>
      </c>
    </row>
    <row r="7" spans="1:20" ht="16.350000000000001" customHeight="1">
      <c r="A7" s="82"/>
      <c r="B7" s="82"/>
      <c r="C7" s="82" t="s">
        <v>74</v>
      </c>
      <c r="D7" s="82"/>
      <c r="E7" s="82" t="s">
        <v>132</v>
      </c>
      <c r="F7" s="82"/>
      <c r="G7" s="28" t="s">
        <v>336</v>
      </c>
      <c r="H7" s="82"/>
      <c r="I7" s="28" t="s">
        <v>134</v>
      </c>
      <c r="J7" s="82"/>
      <c r="K7" s="82" t="s">
        <v>135</v>
      </c>
      <c r="L7" s="82"/>
      <c r="M7" s="82" t="s">
        <v>136</v>
      </c>
      <c r="N7" s="82"/>
      <c r="O7" s="380" t="s">
        <v>476</v>
      </c>
      <c r="P7" s="82"/>
      <c r="Q7" s="28" t="s">
        <v>137</v>
      </c>
      <c r="R7" s="82"/>
      <c r="S7" s="82" t="s">
        <v>9</v>
      </c>
    </row>
    <row r="8" spans="1:20" ht="16.350000000000001" customHeight="1">
      <c r="A8" s="82" t="s">
        <v>138</v>
      </c>
      <c r="B8" s="82"/>
      <c r="C8" s="75" t="s">
        <v>352</v>
      </c>
      <c r="D8" s="82"/>
      <c r="E8" s="28" t="s">
        <v>133</v>
      </c>
      <c r="F8" s="82"/>
      <c r="G8" s="82" t="s">
        <v>337</v>
      </c>
      <c r="H8" s="82"/>
      <c r="I8" s="28" t="s">
        <v>139</v>
      </c>
      <c r="J8" s="82"/>
      <c r="K8" s="82" t="s">
        <v>140</v>
      </c>
      <c r="L8" s="82"/>
      <c r="M8" s="82" t="s">
        <v>141</v>
      </c>
      <c r="N8" s="82"/>
      <c r="O8" s="82" t="s">
        <v>133</v>
      </c>
      <c r="P8" s="82"/>
      <c r="Q8" s="28" t="s">
        <v>142</v>
      </c>
      <c r="R8" s="82"/>
      <c r="S8" s="82" t="s">
        <v>129</v>
      </c>
    </row>
    <row r="9" spans="1:20" ht="16.350000000000001" customHeight="1">
      <c r="A9" s="17" t="s">
        <v>8</v>
      </c>
      <c r="B9" s="17"/>
      <c r="C9" s="17" t="s">
        <v>143</v>
      </c>
      <c r="D9" s="17"/>
      <c r="E9" s="30" t="s">
        <v>144</v>
      </c>
      <c r="F9" s="17"/>
      <c r="G9" s="30" t="s">
        <v>477</v>
      </c>
      <c r="H9" s="17"/>
      <c r="I9" s="30" t="s">
        <v>478</v>
      </c>
      <c r="J9" s="17"/>
      <c r="K9" s="17" t="s">
        <v>145</v>
      </c>
      <c r="L9" s="17"/>
      <c r="M9" s="17" t="s">
        <v>146</v>
      </c>
      <c r="N9" s="17"/>
      <c r="O9" s="44" t="s">
        <v>147</v>
      </c>
      <c r="P9" s="17"/>
      <c r="Q9" s="30" t="s">
        <v>148</v>
      </c>
      <c r="R9" s="17"/>
      <c r="S9" s="17" t="s">
        <v>149</v>
      </c>
    </row>
    <row r="10" spans="1:20" ht="16.350000000000001" customHeight="1">
      <c r="A10" s="82">
        <f>+'Exhibit 4.1'!B9</f>
        <v>1987</v>
      </c>
      <c r="B10" s="21"/>
      <c r="C10" s="21">
        <f>SUMIFS('Exhibit 5.1'!G:G,'Exhibit 5.1'!A:A,$A10)</f>
        <v>3.9182479343030203</v>
      </c>
      <c r="D10" s="21"/>
      <c r="E10" s="21" t="s">
        <v>29</v>
      </c>
      <c r="F10" s="21"/>
      <c r="G10" s="21" t="s">
        <v>29</v>
      </c>
      <c r="H10" s="21"/>
      <c r="I10" s="370">
        <v>0.43456612855520266</v>
      </c>
      <c r="J10" s="21"/>
      <c r="K10" s="370">
        <v>0.99199999999999999</v>
      </c>
      <c r="L10" s="21"/>
      <c r="M10" s="370">
        <v>0.98299999999999998</v>
      </c>
      <c r="N10" s="21"/>
      <c r="O10" s="21">
        <v>1.0389999999999999</v>
      </c>
      <c r="P10" s="21"/>
      <c r="Q10" s="21" t="s">
        <v>29</v>
      </c>
      <c r="R10" s="21"/>
      <c r="S10" s="21">
        <f>(C10*I10*K10)/(M10*O10)</f>
        <v>1.6538282005305278</v>
      </c>
    </row>
    <row r="11" spans="1:20" ht="16.350000000000001" customHeight="1">
      <c r="A11" s="82">
        <f>+'Exhibit 4.1'!B10</f>
        <v>1988</v>
      </c>
      <c r="B11" s="21"/>
      <c r="C11" s="21">
        <f>SUMIFS('Exhibit 5.1'!G:G,'Exhibit 5.1'!A:A,$A11)</f>
        <v>3.7531110481829697</v>
      </c>
      <c r="D11" s="21"/>
      <c r="E11" s="21" t="s">
        <v>29</v>
      </c>
      <c r="F11" s="21"/>
      <c r="G11" s="21" t="s">
        <v>29</v>
      </c>
      <c r="H11" s="21"/>
      <c r="I11" s="370">
        <v>0.38908414617166553</v>
      </c>
      <c r="J11" s="21"/>
      <c r="K11" s="370">
        <v>0.99299999999999999</v>
      </c>
      <c r="L11" s="21"/>
      <c r="M11" s="370">
        <v>0.96299999999999997</v>
      </c>
      <c r="N11" s="21"/>
      <c r="O11" s="21">
        <v>1.0389999999999999</v>
      </c>
      <c r="P11" s="21"/>
      <c r="Q11" s="21" t="s">
        <v>29</v>
      </c>
      <c r="R11" s="21"/>
      <c r="S11" s="21">
        <f t="shared" ref="S11:S37" si="0">(C11*I11*K11)/(M11*O11)</f>
        <v>1.4492468451232938</v>
      </c>
    </row>
    <row r="12" spans="1:20" ht="16.350000000000001" customHeight="1">
      <c r="A12" s="82">
        <f>+'Exhibit 4.1'!B11</f>
        <v>1989</v>
      </c>
      <c r="B12" s="21"/>
      <c r="C12" s="21">
        <f>SUMIFS('Exhibit 5.1'!G:G,'Exhibit 5.1'!A:A,$A12)</f>
        <v>3.5983806789865485</v>
      </c>
      <c r="D12" s="21"/>
      <c r="E12" s="21" t="s">
        <v>29</v>
      </c>
      <c r="F12" s="21"/>
      <c r="G12" s="21" t="s">
        <v>29</v>
      </c>
      <c r="H12" s="21"/>
      <c r="I12" s="370">
        <v>0.38304357038635206</v>
      </c>
      <c r="J12" s="21"/>
      <c r="K12" s="370">
        <v>0.99299999999999999</v>
      </c>
      <c r="L12" s="21"/>
      <c r="M12" s="370">
        <v>0.94499999999999995</v>
      </c>
      <c r="N12" s="21"/>
      <c r="O12" s="21">
        <v>1.0389999999999999</v>
      </c>
      <c r="P12" s="21"/>
      <c r="Q12" s="21" t="s">
        <v>29</v>
      </c>
      <c r="R12" s="21"/>
      <c r="S12" s="21">
        <f t="shared" si="0"/>
        <v>1.3939820307561253</v>
      </c>
    </row>
    <row r="13" spans="1:20" ht="16.350000000000001" customHeight="1">
      <c r="A13" s="82">
        <f>+'Exhibit 4.1'!B12</f>
        <v>1990</v>
      </c>
      <c r="B13" s="21"/>
      <c r="C13" s="21">
        <f>SUMIFS('Exhibit 5.1'!G:G,'Exhibit 5.1'!A:A,$A13)</f>
        <v>3.4270292180824269</v>
      </c>
      <c r="D13" s="21"/>
      <c r="E13" s="21" t="s">
        <v>29</v>
      </c>
      <c r="F13" s="21"/>
      <c r="G13" s="21" t="s">
        <v>29</v>
      </c>
      <c r="H13" s="21"/>
      <c r="I13" s="370">
        <v>0.37344971472732463</v>
      </c>
      <c r="J13" s="21"/>
      <c r="K13" s="370">
        <v>0.99099999999999999</v>
      </c>
      <c r="L13" s="21"/>
      <c r="M13" s="370">
        <v>0.94199999999999995</v>
      </c>
      <c r="N13" s="21"/>
      <c r="O13" s="21">
        <v>1.0389999999999999</v>
      </c>
      <c r="P13" s="21"/>
      <c r="Q13" s="21" t="s">
        <v>29</v>
      </c>
      <c r="R13" s="21"/>
      <c r="S13" s="21">
        <f t="shared" si="0"/>
        <v>1.2958571917105428</v>
      </c>
    </row>
    <row r="14" spans="1:20" ht="16.350000000000001" customHeight="1">
      <c r="A14" s="82">
        <f>+'Exhibit 4.1'!B13</f>
        <v>1991</v>
      </c>
      <c r="B14" s="21"/>
      <c r="C14" s="21">
        <f>SUMIFS('Exhibit 5.1'!G:G,'Exhibit 5.1'!A:A,$A14)</f>
        <v>3.3499796853200658</v>
      </c>
      <c r="D14" s="21"/>
      <c r="E14" s="21" t="s">
        <v>29</v>
      </c>
      <c r="F14" s="21"/>
      <c r="G14" s="21" t="s">
        <v>29</v>
      </c>
      <c r="H14" s="21"/>
      <c r="I14" s="370">
        <v>0.34608945969972804</v>
      </c>
      <c r="J14" s="21"/>
      <c r="K14" s="370">
        <v>0.98699999999999999</v>
      </c>
      <c r="L14" s="21"/>
      <c r="M14" s="370">
        <v>0.93899999999999995</v>
      </c>
      <c r="N14" s="21"/>
      <c r="O14" s="21">
        <v>1.0389999999999999</v>
      </c>
      <c r="P14" s="21"/>
      <c r="Q14" s="21" t="s">
        <v>29</v>
      </c>
      <c r="R14" s="21"/>
      <c r="S14" s="21">
        <f t="shared" si="0"/>
        <v>1.1729150507488251</v>
      </c>
    </row>
    <row r="15" spans="1:20" ht="16.350000000000001" customHeight="1">
      <c r="A15" s="82">
        <f>+'Exhibit 4.1'!B14</f>
        <v>1992</v>
      </c>
      <c r="B15" s="21"/>
      <c r="C15" s="21">
        <f>SUMIFS('Exhibit 5.1'!G:G,'Exhibit 5.1'!A:A,$A15)</f>
        <v>3.1995985533142943</v>
      </c>
      <c r="D15" s="21"/>
      <c r="E15" s="21" t="s">
        <v>29</v>
      </c>
      <c r="F15" s="21"/>
      <c r="G15" s="21" t="s">
        <v>29</v>
      </c>
      <c r="H15" s="21"/>
      <c r="I15" s="370">
        <v>0.3315210122175013</v>
      </c>
      <c r="J15" s="21"/>
      <c r="K15" s="370">
        <v>0.98199999999999998</v>
      </c>
      <c r="L15" s="21"/>
      <c r="M15" s="370">
        <v>0.94</v>
      </c>
      <c r="N15" s="21"/>
      <c r="O15" s="21">
        <v>1.0389999999999999</v>
      </c>
      <c r="P15" s="21"/>
      <c r="Q15" s="21" t="s">
        <v>29</v>
      </c>
      <c r="R15" s="21"/>
      <c r="S15" s="21">
        <f t="shared" si="0"/>
        <v>1.0665338360994496</v>
      </c>
    </row>
    <row r="16" spans="1:20" ht="16.350000000000001" customHeight="1">
      <c r="A16" s="82">
        <f>+'Exhibit 4.1'!B15</f>
        <v>1993</v>
      </c>
      <c r="B16" s="21"/>
      <c r="C16" s="21">
        <f>SUMIFS('Exhibit 5.1'!G:G,'Exhibit 5.1'!A:A,$A16)</f>
        <v>3.1616586495200538</v>
      </c>
      <c r="D16" s="21"/>
      <c r="E16" s="21" t="s">
        <v>29</v>
      </c>
      <c r="F16" s="21"/>
      <c r="G16" s="21" t="s">
        <v>29</v>
      </c>
      <c r="H16" s="21"/>
      <c r="I16" s="370">
        <v>0.32796773234378745</v>
      </c>
      <c r="J16" s="21"/>
      <c r="K16" s="370">
        <v>0.98099999999999998</v>
      </c>
      <c r="L16" s="21"/>
      <c r="M16" s="370">
        <v>0.94899999999999995</v>
      </c>
      <c r="N16" s="21"/>
      <c r="O16" s="21">
        <v>1.0389999999999999</v>
      </c>
      <c r="P16" s="21"/>
      <c r="Q16" s="21" t="s">
        <v>29</v>
      </c>
      <c r="R16" s="21"/>
      <c r="S16" s="21">
        <f t="shared" si="0"/>
        <v>1.0316522831807937</v>
      </c>
    </row>
    <row r="17" spans="1:23" ht="16.350000000000001" customHeight="1">
      <c r="A17" s="82">
        <f>+'Exhibit 4.1'!B16</f>
        <v>1994</v>
      </c>
      <c r="B17" s="21"/>
      <c r="C17" s="21">
        <f>SUMIFS('Exhibit 5.1'!G:G,'Exhibit 5.1'!A:A,$A17)</f>
        <v>3.1027072124828794</v>
      </c>
      <c r="D17" s="21"/>
      <c r="E17" s="21" t="s">
        <v>29</v>
      </c>
      <c r="F17" s="21"/>
      <c r="G17" s="21" t="s">
        <v>29</v>
      </c>
      <c r="H17" s="21"/>
      <c r="I17" s="370">
        <v>0.37522635466418153</v>
      </c>
      <c r="J17" s="21"/>
      <c r="K17" s="370">
        <v>0.98599999999999999</v>
      </c>
      <c r="L17" s="21"/>
      <c r="M17" s="370">
        <v>0.94799999999999995</v>
      </c>
      <c r="N17" s="21"/>
      <c r="O17" s="21">
        <v>1.0389999999999999</v>
      </c>
      <c r="P17" s="21"/>
      <c r="Q17" s="21" t="s">
        <v>29</v>
      </c>
      <c r="R17" s="21"/>
      <c r="S17" s="21">
        <f t="shared" si="0"/>
        <v>1.165432592696231</v>
      </c>
    </row>
    <row r="18" spans="1:23" ht="16.350000000000001" customHeight="1">
      <c r="A18" s="82">
        <f>+'Exhibit 4.1'!B17</f>
        <v>1995</v>
      </c>
      <c r="B18" s="21"/>
      <c r="C18" s="21">
        <f>SUMIFS('Exhibit 5.1'!G:G,'Exhibit 5.1'!A:A,$A18)</f>
        <v>3.0152645407996888</v>
      </c>
      <c r="D18" s="21"/>
      <c r="E18" s="21" t="s">
        <v>29</v>
      </c>
      <c r="F18" s="21"/>
      <c r="G18" s="21" t="s">
        <v>29</v>
      </c>
      <c r="H18" s="21"/>
      <c r="I18" s="370">
        <v>0.50779283084867222</v>
      </c>
      <c r="J18" s="21"/>
      <c r="K18" s="370">
        <v>0.995</v>
      </c>
      <c r="L18" s="21"/>
      <c r="M18" s="370">
        <v>0.95799999999999996</v>
      </c>
      <c r="N18" s="21"/>
      <c r="O18" s="21">
        <v>1.0389999999999999</v>
      </c>
      <c r="P18" s="21"/>
      <c r="Q18" s="21" t="s">
        <v>29</v>
      </c>
      <c r="R18" s="21"/>
      <c r="S18" s="21">
        <f t="shared" si="0"/>
        <v>1.5305728652948822</v>
      </c>
    </row>
    <row r="19" spans="1:23" ht="16.350000000000001" customHeight="1">
      <c r="A19" s="82">
        <f>+'Exhibit 4.1'!B18</f>
        <v>1996</v>
      </c>
      <c r="B19" s="21"/>
      <c r="C19" s="21">
        <f>SUMIFS('Exhibit 5.1'!G:G,'Exhibit 5.1'!A:A,$A19)</f>
        <v>2.9161165771757145</v>
      </c>
      <c r="D19" s="21"/>
      <c r="E19" s="370">
        <v>1.030988199156865</v>
      </c>
      <c r="F19" s="21"/>
      <c r="G19" s="370">
        <v>0.53949392834595189</v>
      </c>
      <c r="H19" s="21"/>
      <c r="I19" s="21">
        <f>G19/E19</f>
        <v>0.52327847087594825</v>
      </c>
      <c r="J19" s="21"/>
      <c r="K19" s="370">
        <v>1</v>
      </c>
      <c r="L19" s="21"/>
      <c r="M19" s="370">
        <v>0.93500000000000005</v>
      </c>
      <c r="N19" s="21"/>
      <c r="O19" s="21">
        <v>1.0389999999999999</v>
      </c>
      <c r="P19" s="21"/>
      <c r="Q19" s="21" t="s">
        <v>29</v>
      </c>
      <c r="R19" s="21"/>
      <c r="S19" s="21">
        <f t="shared" si="0"/>
        <v>1.570762738133141</v>
      </c>
    </row>
    <row r="20" spans="1:23" ht="16.350000000000001" customHeight="1">
      <c r="A20" s="82">
        <f>+'Exhibit 4.1'!B19</f>
        <v>1997</v>
      </c>
      <c r="B20" s="21"/>
      <c r="C20" s="21">
        <f>SUMIFS('Exhibit 5.1'!G:G,'Exhibit 5.1'!A:A,$A20)</f>
        <v>2.7852116305403198</v>
      </c>
      <c r="D20" s="21"/>
      <c r="E20" s="370">
        <v>0.99822105895279911</v>
      </c>
      <c r="F20" s="21"/>
      <c r="G20" s="370">
        <v>0.5382187345793974</v>
      </c>
      <c r="H20" s="21"/>
      <c r="I20" s="21">
        <f t="shared" ref="I20:I40" si="1">G20/E20</f>
        <v>0.53917790027794543</v>
      </c>
      <c r="J20" s="21"/>
      <c r="K20" s="370">
        <v>1</v>
      </c>
      <c r="L20" s="21"/>
      <c r="M20" s="370">
        <v>0.94899999999999995</v>
      </c>
      <c r="N20" s="21"/>
      <c r="O20" s="21">
        <v>1.0389999999999999</v>
      </c>
      <c r="P20" s="21"/>
      <c r="Q20" s="21" t="s">
        <v>29</v>
      </c>
      <c r="R20" s="21"/>
      <c r="S20" s="21">
        <f t="shared" si="0"/>
        <v>1.5230302286530704</v>
      </c>
    </row>
    <row r="21" spans="1:23" ht="16.350000000000001" customHeight="1">
      <c r="A21" s="82">
        <f>+'Exhibit 4.1'!B20</f>
        <v>1998</v>
      </c>
      <c r="B21" s="21"/>
      <c r="C21" s="21">
        <f>SUMIFS('Exhibit 5.1'!G:G,'Exhibit 5.1'!A:A,$A21)</f>
        <v>2.6475395727569579</v>
      </c>
      <c r="D21" s="21"/>
      <c r="E21" s="370">
        <v>0.96527917280802233</v>
      </c>
      <c r="F21" s="21"/>
      <c r="G21" s="370">
        <v>0.56062724336146097</v>
      </c>
      <c r="H21" s="21"/>
      <c r="I21" s="21">
        <f t="shared" si="1"/>
        <v>0.58079285159606386</v>
      </c>
      <c r="J21" s="21"/>
      <c r="K21" s="370">
        <v>1</v>
      </c>
      <c r="L21" s="21"/>
      <c r="M21" s="370">
        <v>0.95899999999999996</v>
      </c>
      <c r="N21" s="21"/>
      <c r="O21" s="21">
        <v>1.0389999999999999</v>
      </c>
      <c r="P21" s="21"/>
      <c r="Q21" s="21" t="s">
        <v>29</v>
      </c>
      <c r="R21" s="21"/>
      <c r="S21" s="21">
        <f t="shared" si="0"/>
        <v>1.543226129013257</v>
      </c>
    </row>
    <row r="22" spans="1:23" ht="16.350000000000001" customHeight="1">
      <c r="A22" s="82">
        <f>+'Exhibit 4.1'!B21</f>
        <v>1999</v>
      </c>
      <c r="B22" s="21"/>
      <c r="C22" s="21">
        <f>SUMIFS('Exhibit 5.1'!G:G,'Exhibit 5.1'!A:A,$A22)</f>
        <v>2.4929751155903559</v>
      </c>
      <c r="D22" s="21"/>
      <c r="E22" s="370">
        <v>0.97186096441403469</v>
      </c>
      <c r="F22" s="21"/>
      <c r="G22" s="370">
        <v>0.566642750004553</v>
      </c>
      <c r="H22" s="21"/>
      <c r="I22" s="21">
        <f t="shared" si="1"/>
        <v>0.58304919196564253</v>
      </c>
      <c r="J22" s="21"/>
      <c r="K22" s="370">
        <v>1</v>
      </c>
      <c r="L22" s="21"/>
      <c r="M22" s="370">
        <v>0.95399999999999996</v>
      </c>
      <c r="N22" s="21"/>
      <c r="O22" s="21">
        <v>1.0389999999999999</v>
      </c>
      <c r="P22" s="21"/>
      <c r="Q22" s="21" t="s">
        <v>29</v>
      </c>
      <c r="R22" s="21"/>
      <c r="S22" s="21">
        <f t="shared" si="0"/>
        <v>1.4664228492719085</v>
      </c>
    </row>
    <row r="23" spans="1:23" ht="16.350000000000001" customHeight="1">
      <c r="A23" s="82">
        <f>+'Exhibit 4.1'!B22</f>
        <v>2000</v>
      </c>
      <c r="B23" s="21"/>
      <c r="C23" s="21">
        <f>SUMIFS('Exhibit 5.1'!G:G,'Exhibit 5.1'!A:A,$A23)</f>
        <v>2.2871331335691338</v>
      </c>
      <c r="D23" s="21"/>
      <c r="E23" s="370">
        <v>1.0048394109559586</v>
      </c>
      <c r="F23" s="21"/>
      <c r="G23" s="370">
        <v>0.51382586310239797</v>
      </c>
      <c r="H23" s="21"/>
      <c r="I23" s="21">
        <f t="shared" si="1"/>
        <v>0.51135122438476743</v>
      </c>
      <c r="J23" s="21"/>
      <c r="K23" s="370">
        <v>1</v>
      </c>
      <c r="L23" s="21"/>
      <c r="M23" s="370">
        <v>0.97</v>
      </c>
      <c r="N23" s="21"/>
      <c r="O23" s="21">
        <v>1.0389999999999999</v>
      </c>
      <c r="P23" s="21"/>
      <c r="Q23" s="21" t="s">
        <v>29</v>
      </c>
      <c r="R23" s="21"/>
      <c r="S23" s="21">
        <f t="shared" si="0"/>
        <v>1.160442066798514</v>
      </c>
    </row>
    <row r="24" spans="1:23" ht="16.350000000000001" customHeight="1">
      <c r="A24" s="82">
        <f>+'Exhibit 4.1'!B23</f>
        <v>2001</v>
      </c>
      <c r="B24" s="45"/>
      <c r="C24" s="21">
        <f>SUMIFS('Exhibit 5.1'!G:G,'Exhibit 5.1'!A:A,$A24)</f>
        <v>2.2734921804862167</v>
      </c>
      <c r="D24" s="21"/>
      <c r="E24" s="370">
        <v>1.0312868232746137</v>
      </c>
      <c r="F24" s="21"/>
      <c r="G24" s="370">
        <v>0.45248719138411164</v>
      </c>
      <c r="H24" s="21"/>
      <c r="I24" s="21">
        <f t="shared" si="1"/>
        <v>0.43875979133267967</v>
      </c>
      <c r="J24" s="21"/>
      <c r="K24" s="370">
        <v>1</v>
      </c>
      <c r="L24" s="21"/>
      <c r="M24" s="370">
        <v>0.96899999999999997</v>
      </c>
      <c r="N24" s="21"/>
      <c r="O24" s="21">
        <v>1.0389999999999999</v>
      </c>
      <c r="P24" s="21"/>
      <c r="Q24" s="21" t="s">
        <v>29</v>
      </c>
      <c r="R24" s="21"/>
      <c r="S24" s="21">
        <f t="shared" si="0"/>
        <v>0.9907885099356385</v>
      </c>
    </row>
    <row r="25" spans="1:23" ht="16.350000000000001" customHeight="1">
      <c r="A25" s="82">
        <f>+'Exhibit 4.1'!B24</f>
        <v>2002</v>
      </c>
      <c r="B25" s="45"/>
      <c r="C25" s="21">
        <f>SUMIFS('Exhibit 5.1'!G:G,'Exhibit 5.1'!A:A,$A25)</f>
        <v>2.2621812741156386</v>
      </c>
      <c r="D25" s="21"/>
      <c r="E25" s="370">
        <v>1.166753618146682</v>
      </c>
      <c r="F25" s="21"/>
      <c r="G25" s="370">
        <v>0.40500854420210891</v>
      </c>
      <c r="H25" s="21"/>
      <c r="I25" s="21">
        <f t="shared" si="1"/>
        <v>0.34712430962540375</v>
      </c>
      <c r="J25" s="21"/>
      <c r="K25" s="370">
        <v>1</v>
      </c>
      <c r="L25" s="21"/>
      <c r="M25" s="370">
        <v>0.99099999999999999</v>
      </c>
      <c r="N25" s="21"/>
      <c r="O25" s="21">
        <v>1.0389999999999999</v>
      </c>
      <c r="P25" s="21"/>
      <c r="Q25" s="21" t="s">
        <v>29</v>
      </c>
      <c r="R25" s="21"/>
      <c r="S25" s="21">
        <f t="shared" si="0"/>
        <v>0.76264640962590891</v>
      </c>
      <c r="T25" s="46"/>
      <c r="U25"/>
      <c r="V25"/>
      <c r="W25"/>
    </row>
    <row r="26" spans="1:23" ht="16.350000000000001" customHeight="1">
      <c r="A26" s="82">
        <f>+'Exhibit 4.1'!B25</f>
        <v>2003</v>
      </c>
      <c r="B26" s="45"/>
      <c r="C26" s="21">
        <f>SUMIFS('Exhibit 5.1'!G:G,'Exhibit 5.1'!A:A,$A26)</f>
        <v>2.1899141085340164</v>
      </c>
      <c r="D26" s="21"/>
      <c r="E26" s="370">
        <v>1.2823893740500729</v>
      </c>
      <c r="F26" s="21"/>
      <c r="G26" s="370">
        <v>0.33149137253493849</v>
      </c>
      <c r="H26" s="21"/>
      <c r="I26" s="21">
        <f t="shared" si="1"/>
        <v>0.25849510237909606</v>
      </c>
      <c r="J26" s="21"/>
      <c r="K26" s="370">
        <v>1</v>
      </c>
      <c r="L26" s="21"/>
      <c r="M26" s="370">
        <v>1.0049999999999999</v>
      </c>
      <c r="N26" s="21"/>
      <c r="O26" s="21">
        <v>1.0389999999999999</v>
      </c>
      <c r="P26" s="21"/>
      <c r="Q26" s="21" t="s">
        <v>29</v>
      </c>
      <c r="R26" s="21"/>
      <c r="S26" s="21">
        <f t="shared" si="0"/>
        <v>0.54212294800006477</v>
      </c>
      <c r="T26" s="46"/>
      <c r="U26"/>
      <c r="V26"/>
      <c r="W26"/>
    </row>
    <row r="27" spans="1:23" ht="16.350000000000001" customHeight="1">
      <c r="A27" s="82">
        <f>+'Exhibit 4.1'!B26</f>
        <v>2004</v>
      </c>
      <c r="B27" s="45"/>
      <c r="C27" s="21">
        <f>SUMIFS('Exhibit 5.1'!G:G,'Exhibit 5.1'!A:A,$A27)</f>
        <v>2.0916085086284779</v>
      </c>
      <c r="D27" s="21"/>
      <c r="E27" s="370">
        <v>1.3995096532502738</v>
      </c>
      <c r="F27" s="21"/>
      <c r="G27" s="370">
        <v>0.33719805161206595</v>
      </c>
      <c r="H27" s="21"/>
      <c r="I27" s="21">
        <f t="shared" si="1"/>
        <v>0.24094013987609483</v>
      </c>
      <c r="J27" s="21"/>
      <c r="K27" s="370">
        <v>1</v>
      </c>
      <c r="L27" s="21"/>
      <c r="M27" s="370">
        <v>0.98099999999999998</v>
      </c>
      <c r="N27" s="21"/>
      <c r="O27" s="21">
        <v>1.0389999999999999</v>
      </c>
      <c r="P27" s="21"/>
      <c r="Q27" s="21" t="s">
        <v>29</v>
      </c>
      <c r="R27" s="21"/>
      <c r="S27" s="21">
        <f t="shared" si="0"/>
        <v>0.49443021512194218</v>
      </c>
      <c r="T27" s="46"/>
      <c r="U27"/>
      <c r="V27"/>
      <c r="W27"/>
    </row>
    <row r="28" spans="1:23" ht="16.350000000000001" customHeight="1">
      <c r="A28" s="82">
        <f>+'Exhibit 4.1'!B27</f>
        <v>2005</v>
      </c>
      <c r="B28" s="45"/>
      <c r="C28" s="21">
        <f>SUMIFS('Exhibit 5.1'!G:G,'Exhibit 5.1'!A:A,$A28)</f>
        <v>2.0287182430926074</v>
      </c>
      <c r="D28" s="21"/>
      <c r="E28" s="370">
        <v>1.4703252948630783</v>
      </c>
      <c r="F28" s="21"/>
      <c r="G28" s="370">
        <v>0.40568576998614159</v>
      </c>
      <c r="H28" s="21"/>
      <c r="I28" s="21">
        <f t="shared" si="1"/>
        <v>0.27591565717021854</v>
      </c>
      <c r="J28" s="21"/>
      <c r="K28" s="370">
        <v>1</v>
      </c>
      <c r="L28" s="21"/>
      <c r="M28" s="370">
        <v>0.98199999999999998</v>
      </c>
      <c r="N28" s="21"/>
      <c r="O28" s="21">
        <v>1.0389999999999999</v>
      </c>
      <c r="P28" s="21"/>
      <c r="Q28" s="21" t="s">
        <v>29</v>
      </c>
      <c r="R28" s="21"/>
      <c r="S28" s="21">
        <f t="shared" si="0"/>
        <v>0.54861925364560948</v>
      </c>
      <c r="T28" s="46"/>
      <c r="U28"/>
      <c r="V28"/>
      <c r="W28"/>
    </row>
    <row r="29" spans="1:23" ht="16.350000000000001" customHeight="1">
      <c r="A29" s="82">
        <f>+'Exhibit 4.1'!B28</f>
        <v>2006</v>
      </c>
      <c r="B29" s="45"/>
      <c r="C29" s="21">
        <f>SUMIFS('Exhibit 5.1'!G:G,'Exhibit 5.1'!A:A,$A29)</f>
        <v>1.9395011884250546</v>
      </c>
      <c r="D29" s="45"/>
      <c r="E29" s="370">
        <v>1.4467220159636907</v>
      </c>
      <c r="F29" s="21"/>
      <c r="G29" s="370">
        <v>0.52271902882126808</v>
      </c>
      <c r="H29" s="45"/>
      <c r="I29" s="21">
        <f t="shared" si="1"/>
        <v>0.36131269383709103</v>
      </c>
      <c r="J29" s="45"/>
      <c r="K29" s="370">
        <v>1</v>
      </c>
      <c r="L29" s="45"/>
      <c r="M29" s="370">
        <v>0.95599999999999996</v>
      </c>
      <c r="N29" s="45"/>
      <c r="O29" s="21">
        <v>1.0389999999999999</v>
      </c>
      <c r="P29" s="21"/>
      <c r="Q29" s="21" t="s">
        <v>29</v>
      </c>
      <c r="R29" s="45"/>
      <c r="S29" s="21">
        <f t="shared" si="0"/>
        <v>0.7055045677672207</v>
      </c>
      <c r="T29" s="46"/>
      <c r="U29"/>
      <c r="V29"/>
      <c r="W29"/>
    </row>
    <row r="30" spans="1:23" ht="16.350000000000001" customHeight="1">
      <c r="A30" s="82">
        <f>+'Exhibit 4.1'!B29</f>
        <v>2007</v>
      </c>
      <c r="B30" s="45"/>
      <c r="C30" s="21">
        <f>SUMIFS('Exhibit 5.1'!G:G,'Exhibit 5.1'!A:A,$A30)</f>
        <v>1.8559819984928754</v>
      </c>
      <c r="D30" s="45"/>
      <c r="E30" s="370">
        <v>1.4927586030520217</v>
      </c>
      <c r="F30" s="21"/>
      <c r="G30" s="370">
        <v>0.71218108868773844</v>
      </c>
      <c r="H30" s="45"/>
      <c r="I30" s="21">
        <f t="shared" si="1"/>
        <v>0.4770905940395504</v>
      </c>
      <c r="J30" s="45"/>
      <c r="K30" s="370">
        <v>1</v>
      </c>
      <c r="L30" s="45"/>
      <c r="M30" s="370">
        <v>0.93100000000000005</v>
      </c>
      <c r="N30" s="45"/>
      <c r="O30" s="21">
        <v>1.0389999999999999</v>
      </c>
      <c r="P30" s="21"/>
      <c r="Q30" s="370">
        <v>0.98499999999999999</v>
      </c>
      <c r="R30" s="45"/>
      <c r="S30" s="304">
        <f>(C30*I30*K30*Q30)/(M30*O30)</f>
        <v>0.9016658388114478</v>
      </c>
      <c r="T30" s="46"/>
      <c r="U30"/>
      <c r="V30"/>
      <c r="W30"/>
    </row>
    <row r="31" spans="1:23" ht="16.350000000000001" customHeight="1">
      <c r="A31" s="82">
        <f>+'Exhibit 4.1'!B30</f>
        <v>2008</v>
      </c>
      <c r="B31" s="45"/>
      <c r="C31" s="21">
        <f>SUMIFS('Exhibit 5.1'!G:G,'Exhibit 5.1'!A:A,$A31)</f>
        <v>1.817808029865696</v>
      </c>
      <c r="D31" s="45"/>
      <c r="E31" s="370">
        <v>1.4261129520160045</v>
      </c>
      <c r="F31" s="21"/>
      <c r="G31" s="370">
        <v>0.84760798485171918</v>
      </c>
      <c r="H31" s="45"/>
      <c r="I31" s="21">
        <f t="shared" si="1"/>
        <v>0.59434842356175932</v>
      </c>
      <c r="J31" s="45"/>
      <c r="K31" s="370">
        <v>1</v>
      </c>
      <c r="L31" s="45"/>
      <c r="M31" s="370">
        <v>0.94599999999999995</v>
      </c>
      <c r="N31" s="45"/>
      <c r="O31" s="21">
        <v>1.0389999999999999</v>
      </c>
      <c r="P31" s="21"/>
      <c r="Q31" s="370">
        <v>0.99099999999999999</v>
      </c>
      <c r="R31" s="45"/>
      <c r="S31" s="304">
        <f>(C31*I31*K31*Q31)/(M31*O31)</f>
        <v>1.0893215696266196</v>
      </c>
      <c r="T31" s="46"/>
      <c r="U31"/>
      <c r="V31"/>
      <c r="W31"/>
    </row>
    <row r="32" spans="1:23" ht="16.350000000000001" customHeight="1">
      <c r="A32" s="82">
        <f>+'Exhibit 4.1'!B31</f>
        <v>2009</v>
      </c>
      <c r="B32" s="45"/>
      <c r="C32" s="21">
        <f>SUMIFS('Exhibit 5.1'!G:G,'Exhibit 5.1'!A:A,$A32)</f>
        <v>1.810565766798502</v>
      </c>
      <c r="D32" s="45"/>
      <c r="E32" s="370">
        <v>1.3655621011652161</v>
      </c>
      <c r="F32" s="21"/>
      <c r="G32" s="370">
        <v>0.83536942768415812</v>
      </c>
      <c r="H32" s="45"/>
      <c r="I32" s="21">
        <f t="shared" si="1"/>
        <v>0.61174034265548849</v>
      </c>
      <c r="J32" s="45"/>
      <c r="K32" s="370">
        <v>1</v>
      </c>
      <c r="L32" s="45"/>
      <c r="M32" s="370">
        <v>0.93700000000000006</v>
      </c>
      <c r="N32" s="45"/>
      <c r="O32" s="21">
        <v>1.0389999999999999</v>
      </c>
      <c r="P32" s="21"/>
      <c r="Q32" s="370">
        <v>1.034</v>
      </c>
      <c r="R32" s="45"/>
      <c r="S32" s="304">
        <f>(C32*I32*K32*Q32)/(M32*O32)</f>
        <v>1.1763778186986993</v>
      </c>
      <c r="T32" s="46"/>
      <c r="U32"/>
      <c r="V32"/>
      <c r="W32"/>
    </row>
    <row r="33" spans="1:23" ht="16.350000000000001" customHeight="1">
      <c r="A33" s="82">
        <f>+'Exhibit 4.1'!B32</f>
        <v>2010</v>
      </c>
      <c r="B33" s="45"/>
      <c r="C33" s="21">
        <f>SUMIFS('Exhibit 5.1'!G:G,'Exhibit 5.1'!A:A,$A33)</f>
        <v>1.7578308415519437</v>
      </c>
      <c r="D33" s="45"/>
      <c r="E33" s="370">
        <v>1.383443284983209</v>
      </c>
      <c r="F33" s="21"/>
      <c r="G33" s="370">
        <v>0.81885177509982265</v>
      </c>
      <c r="H33" s="45"/>
      <c r="I33" s="21">
        <f t="shared" si="1"/>
        <v>0.59189399665903986</v>
      </c>
      <c r="J33" s="45"/>
      <c r="K33" s="370">
        <v>1</v>
      </c>
      <c r="L33" s="45"/>
      <c r="M33" s="370">
        <v>0.94099999999999995</v>
      </c>
      <c r="N33" s="45"/>
      <c r="O33" s="21">
        <v>1.0389999999999999</v>
      </c>
      <c r="P33" s="21"/>
      <c r="Q33" s="370">
        <v>1.0049999999999999</v>
      </c>
      <c r="R33" s="45"/>
      <c r="S33" s="304">
        <f>(C33*I33*K33*Q33)/(M33*O33)</f>
        <v>1.0695027507116064</v>
      </c>
      <c r="T33" s="46"/>
      <c r="U33"/>
      <c r="V33"/>
      <c r="W33"/>
    </row>
    <row r="34" spans="1:23" ht="16.350000000000001" customHeight="1">
      <c r="A34" s="82">
        <f>+'Exhibit 4.1'!B33</f>
        <v>2011</v>
      </c>
      <c r="B34" s="45"/>
      <c r="C34" s="21">
        <f>SUMIFS('Exhibit 5.1'!G:G,'Exhibit 5.1'!A:A,$A34)</f>
        <v>1.7066318850018871</v>
      </c>
      <c r="D34" s="45"/>
      <c r="E34" s="370">
        <v>1.4009957984879522</v>
      </c>
      <c r="F34" s="21"/>
      <c r="G34" s="370">
        <v>0.8180705617094618</v>
      </c>
      <c r="H34" s="45"/>
      <c r="I34" s="21">
        <f t="shared" si="1"/>
        <v>0.58392078162716687</v>
      </c>
      <c r="J34" s="45"/>
      <c r="K34" s="370">
        <v>1</v>
      </c>
      <c r="L34" s="45"/>
      <c r="M34" s="370">
        <v>0.98199999999999998</v>
      </c>
      <c r="N34" s="45"/>
      <c r="O34" s="21">
        <v>1.0389999999999999</v>
      </c>
      <c r="P34" s="21"/>
      <c r="Q34" s="34" t="s">
        <v>29</v>
      </c>
      <c r="R34" s="45"/>
      <c r="S34" s="21">
        <f t="shared" si="0"/>
        <v>0.97671251363831668</v>
      </c>
      <c r="T34" s="46"/>
      <c r="U34"/>
      <c r="V34"/>
      <c r="W34"/>
    </row>
    <row r="35" spans="1:23" ht="16.350000000000001" customHeight="1">
      <c r="A35" s="82">
        <f>+'Exhibit 4.1'!B34</f>
        <v>2012</v>
      </c>
      <c r="B35" s="45"/>
      <c r="C35" s="21">
        <f>SUMIFS('Exhibit 5.1'!G:G,'Exhibit 5.1'!A:A,$A35)</f>
        <v>1.6378425000018111</v>
      </c>
      <c r="D35" s="45"/>
      <c r="E35" s="370">
        <v>1.2230987679508474</v>
      </c>
      <c r="F35" s="21"/>
      <c r="G35" s="370">
        <v>0.67438560098653311</v>
      </c>
      <c r="H35" s="45"/>
      <c r="I35" s="21">
        <f t="shared" si="1"/>
        <v>0.55137460576171116</v>
      </c>
      <c r="J35" s="45"/>
      <c r="K35" s="370">
        <v>1</v>
      </c>
      <c r="L35" s="45"/>
      <c r="M35" s="370">
        <v>1</v>
      </c>
      <c r="N35" s="45"/>
      <c r="O35" s="21">
        <v>1.0389999999999999</v>
      </c>
      <c r="P35" s="21"/>
      <c r="Q35" s="21" t="s">
        <v>29</v>
      </c>
      <c r="R35" s="45"/>
      <c r="S35" s="21">
        <f t="shared" si="0"/>
        <v>0.86916724036407511</v>
      </c>
      <c r="T35" s="46"/>
      <c r="U35"/>
      <c r="V35"/>
      <c r="W35"/>
    </row>
    <row r="36" spans="1:23" ht="16.350000000000001" customHeight="1">
      <c r="A36" s="82">
        <f>+'Exhibit 4.1'!B35</f>
        <v>2013</v>
      </c>
      <c r="B36" s="45"/>
      <c r="C36" s="21">
        <f>SUMIFS('Exhibit 5.1'!G:G,'Exhibit 5.1'!A:A,$A36)</f>
        <v>1.6264572989094452</v>
      </c>
      <c r="D36" s="45"/>
      <c r="E36" s="370">
        <v>1.1382336460063744</v>
      </c>
      <c r="F36" s="21"/>
      <c r="G36" s="370">
        <v>0.54297333919653268</v>
      </c>
      <c r="H36" s="45"/>
      <c r="I36" s="21">
        <f t="shared" si="1"/>
        <v>0.47703153135704429</v>
      </c>
      <c r="J36" s="45"/>
      <c r="K36" s="370">
        <v>1</v>
      </c>
      <c r="L36" s="45"/>
      <c r="M36" s="370">
        <v>0.98299999999999998</v>
      </c>
      <c r="N36" s="45"/>
      <c r="O36" s="21">
        <v>1.0389999999999999</v>
      </c>
      <c r="P36" s="21"/>
      <c r="Q36" s="21" t="s">
        <v>29</v>
      </c>
      <c r="R36" s="45"/>
      <c r="S36" s="21">
        <f t="shared" si="0"/>
        <v>0.75966249728112722</v>
      </c>
      <c r="T36" s="46"/>
      <c r="U36"/>
      <c r="V36"/>
      <c r="W36"/>
    </row>
    <row r="37" spans="1:23" ht="16.350000000000001" customHeight="1">
      <c r="A37" s="82">
        <f>+'Exhibit 4.1'!B36</f>
        <v>2014</v>
      </c>
      <c r="B37" s="45"/>
      <c r="C37" s="21">
        <f>SUMIFS('Exhibit 5.1'!G:G,'Exhibit 5.1'!A:A,$A37)</f>
        <v>1.5744988372792308</v>
      </c>
      <c r="D37" s="45"/>
      <c r="E37" s="370">
        <v>1.1272850069453022</v>
      </c>
      <c r="F37" s="21"/>
      <c r="G37" s="370">
        <v>0.50023876508157739</v>
      </c>
      <c r="H37" s="45"/>
      <c r="I37" s="21">
        <f t="shared" si="1"/>
        <v>0.44375536088882783</v>
      </c>
      <c r="J37" s="45"/>
      <c r="K37" s="370">
        <v>1</v>
      </c>
      <c r="L37" s="45"/>
      <c r="M37" s="370">
        <v>0.96099999999999997</v>
      </c>
      <c r="N37" s="45"/>
      <c r="O37" s="21">
        <v>1.0389999999999999</v>
      </c>
      <c r="P37" s="21"/>
      <c r="Q37" s="21" t="s">
        <v>29</v>
      </c>
      <c r="R37" s="45"/>
      <c r="S37" s="21">
        <f t="shared" si="0"/>
        <v>0.69975662958949059</v>
      </c>
      <c r="T37" s="46"/>
      <c r="U37"/>
      <c r="V37"/>
      <c r="W37"/>
    </row>
    <row r="38" spans="1:23" ht="16.350000000000001" customHeight="1">
      <c r="A38" s="82">
        <f>+'Exhibit 4.1'!B37</f>
        <v>2015</v>
      </c>
      <c r="B38" s="45"/>
      <c r="C38" s="21">
        <f>SUMIFS('Exhibit 5.1'!G:G,'Exhibit 5.1'!A:A,$A38)</f>
        <v>1.5066974519418477</v>
      </c>
      <c r="D38" s="45"/>
      <c r="E38" s="370">
        <v>1.1087089675437782</v>
      </c>
      <c r="F38" s="21"/>
      <c r="G38" s="370">
        <v>0.48607173471333914</v>
      </c>
      <c r="H38" s="45"/>
      <c r="I38" s="21">
        <f t="shared" si="1"/>
        <v>0.43841237776778985</v>
      </c>
      <c r="J38" s="45"/>
      <c r="K38" s="370">
        <v>1</v>
      </c>
      <c r="L38" s="45"/>
      <c r="M38" s="370">
        <v>0.95099999999999996</v>
      </c>
      <c r="N38" s="45"/>
      <c r="O38" s="21">
        <v>1.0389999999999999</v>
      </c>
      <c r="P38" s="21"/>
      <c r="Q38" s="21" t="s">
        <v>29</v>
      </c>
      <c r="R38" s="45"/>
      <c r="S38" s="21">
        <f>(C38*I38*K38)/(M38*O38)</f>
        <v>0.66851752471942893</v>
      </c>
      <c r="T38" s="46"/>
      <c r="U38"/>
      <c r="V38"/>
      <c r="W38"/>
    </row>
    <row r="39" spans="1:23" ht="16.350000000000001" customHeight="1">
      <c r="A39" s="82">
        <f>+'Exhibit 4.1'!B38</f>
        <v>2016</v>
      </c>
      <c r="B39" s="45"/>
      <c r="C39" s="21">
        <f>SUMIFS('Exhibit 5.1'!G:G,'Exhibit 5.1'!A:A,$A39)</f>
        <v>1.4771543646488703</v>
      </c>
      <c r="D39" s="45"/>
      <c r="E39" s="370">
        <v>1.1482060818297204</v>
      </c>
      <c r="F39" s="21"/>
      <c r="G39" s="370">
        <v>0.52887770921261967</v>
      </c>
      <c r="H39" s="45"/>
      <c r="I39" s="21">
        <f t="shared" si="1"/>
        <v>0.46061218241400376</v>
      </c>
      <c r="J39" s="45"/>
      <c r="K39" s="370">
        <v>1</v>
      </c>
      <c r="L39" s="45"/>
      <c r="M39" s="370">
        <v>0.94899999999999995</v>
      </c>
      <c r="N39" s="45"/>
      <c r="O39" s="21">
        <v>1.0389999999999999</v>
      </c>
      <c r="P39" s="21"/>
      <c r="Q39" s="21" t="s">
        <v>29</v>
      </c>
      <c r="R39" s="45"/>
      <c r="S39" s="21">
        <f>(C39*I39*K39)/(M39*O39)</f>
        <v>0.69004838248588241</v>
      </c>
      <c r="T39" s="144"/>
      <c r="U39"/>
      <c r="V39"/>
      <c r="W39"/>
    </row>
    <row r="40" spans="1:23" s="89" customFormat="1" ht="16.350000000000001" customHeight="1">
      <c r="A40" s="91">
        <f>+'Exhibit 4.1'!B39</f>
        <v>2017</v>
      </c>
      <c r="B40" s="45"/>
      <c r="C40" s="21">
        <f>SUMIFS('Exhibit 5.1'!G:G,'Exhibit 5.1'!A:A,$A40)</f>
        <v>1.4162553831724549</v>
      </c>
      <c r="D40" s="45"/>
      <c r="E40" s="370">
        <v>1.156098460123975</v>
      </c>
      <c r="F40" s="21"/>
      <c r="G40" s="370">
        <v>0.58560936759697302</v>
      </c>
      <c r="H40" s="45"/>
      <c r="I40" s="21">
        <f t="shared" si="1"/>
        <v>0.506539354385244</v>
      </c>
      <c r="J40" s="45"/>
      <c r="K40" s="370">
        <v>1</v>
      </c>
      <c r="L40" s="45"/>
      <c r="M40" s="370">
        <v>0.95499999999999996</v>
      </c>
      <c r="N40" s="45"/>
      <c r="O40" s="21">
        <v>1.0389999999999999</v>
      </c>
      <c r="P40" s="21"/>
      <c r="Q40" s="21" t="s">
        <v>29</v>
      </c>
      <c r="R40" s="45"/>
      <c r="S40" s="21">
        <f>(C40*I40*K40)/(M40*O40)</f>
        <v>0.72299592080262609</v>
      </c>
      <c r="T40" s="46"/>
      <c r="U40"/>
      <c r="V40"/>
      <c r="W40"/>
    </row>
    <row r="41" spans="1:23" s="140" customFormat="1" ht="16.350000000000001" customHeight="1">
      <c r="A41" s="120">
        <f>+'Exhibit 4.1'!B40</f>
        <v>2018</v>
      </c>
      <c r="B41" s="45"/>
      <c r="C41" s="21">
        <f>SUMIFS('Exhibit 5.1'!G:G,'Exhibit 5.1'!A:A,$A41)</f>
        <v>1.3657236096166394</v>
      </c>
      <c r="D41" s="45"/>
      <c r="E41" s="370">
        <v>1.195959402714087</v>
      </c>
      <c r="F41" s="21"/>
      <c r="G41" s="370">
        <v>0.66198372493576108</v>
      </c>
      <c r="H41" s="45"/>
      <c r="I41" s="21">
        <f t="shared" ref="I41" si="2">G41/E41</f>
        <v>0.55351688647078501</v>
      </c>
      <c r="J41" s="45"/>
      <c r="K41" s="370">
        <v>1</v>
      </c>
      <c r="L41" s="45"/>
      <c r="M41" s="370">
        <v>0.95599999999999996</v>
      </c>
      <c r="N41" s="45"/>
      <c r="O41" s="21">
        <v>1.0389999999999999</v>
      </c>
      <c r="P41" s="21"/>
      <c r="Q41" s="21" t="s">
        <v>29</v>
      </c>
      <c r="R41" s="45"/>
      <c r="S41" s="21">
        <f t="shared" ref="S41" si="3">(C41*I41*K41)/(M41*O41)</f>
        <v>0.76106237508571994</v>
      </c>
      <c r="T41" s="46"/>
      <c r="U41"/>
      <c r="V41"/>
      <c r="W41"/>
    </row>
    <row r="42" spans="1:23" s="199" customFormat="1" ht="16.350000000000001" customHeight="1">
      <c r="A42" s="120">
        <f>+'Exhibit 4.1'!B41</f>
        <v>2019</v>
      </c>
      <c r="B42" s="45"/>
      <c r="C42" s="21">
        <f>SUMIFS('Exhibit 5.1'!G:G,'Exhibit 5.1'!A:A,$A42)</f>
        <v>1.3094186094119267</v>
      </c>
      <c r="D42" s="45"/>
      <c r="E42" s="370">
        <v>1.2144434528923242</v>
      </c>
      <c r="F42" s="21"/>
      <c r="G42" s="370">
        <v>0.76937061590436928</v>
      </c>
      <c r="H42" s="45"/>
      <c r="I42" s="21">
        <f t="shared" ref="I42" si="4">G42/E42</f>
        <v>0.63351703537289661</v>
      </c>
      <c r="J42" s="45"/>
      <c r="K42" s="370">
        <v>1</v>
      </c>
      <c r="L42" s="45"/>
      <c r="M42" s="370">
        <v>0.94499999999999995</v>
      </c>
      <c r="N42" s="45"/>
      <c r="O42" s="21">
        <v>1.0389999999999999</v>
      </c>
      <c r="P42" s="21"/>
      <c r="Q42" s="20" t="s">
        <v>29</v>
      </c>
      <c r="R42" s="314"/>
      <c r="S42" s="20">
        <f t="shared" ref="S42" si="5">(C42*I42*K42)/(M42*O42)</f>
        <v>0.84486914615370357</v>
      </c>
      <c r="T42" s="46"/>
      <c r="U42"/>
      <c r="V42"/>
      <c r="W42"/>
    </row>
    <row r="43" spans="1:23" s="147" customFormat="1" ht="16.350000000000001" customHeight="1">
      <c r="A43" s="120">
        <f>+'Exhibit 4.1'!B42</f>
        <v>2020</v>
      </c>
      <c r="B43" s="45"/>
      <c r="C43" s="21">
        <f>SUMIFS('Exhibit 5.1'!G:G,'Exhibit 5.1'!A:A,$A43)</f>
        <v>1.2457602601198048</v>
      </c>
      <c r="D43" s="45"/>
      <c r="E43" s="370">
        <v>1.207215482502876</v>
      </c>
      <c r="F43" s="21"/>
      <c r="G43" s="370">
        <v>0.85778745407169998</v>
      </c>
      <c r="H43" s="45"/>
      <c r="I43" s="21">
        <f>G43/E43</f>
        <v>0.71055040836063532</v>
      </c>
      <c r="J43" s="45"/>
      <c r="K43" s="370">
        <v>1</v>
      </c>
      <c r="L43" s="45"/>
      <c r="M43" s="370">
        <v>0.94299999999999995</v>
      </c>
      <c r="N43" s="45"/>
      <c r="O43" s="21">
        <v>1.0389999999999999</v>
      </c>
      <c r="P43" s="21"/>
      <c r="Q43" s="130">
        <v>0.99</v>
      </c>
      <c r="R43" s="314"/>
      <c r="S43" s="121">
        <f t="shared" ref="S43:S45" si="6">(C43*I43*K43*Q43)/(M43*O43)</f>
        <v>0.8944113884405358</v>
      </c>
      <c r="T43" s="46"/>
      <c r="U43"/>
      <c r="V43"/>
      <c r="W43"/>
    </row>
    <row r="44" spans="1:23" s="199" customFormat="1" ht="16.350000000000001" customHeight="1">
      <c r="A44" s="120">
        <f>+'Exhibit 4.1'!B43</f>
        <v>2021</v>
      </c>
      <c r="B44" s="45"/>
      <c r="C44" s="21">
        <f>SUMIFS('Exhibit 5.1'!G:G,'Exhibit 5.1'!A:A,$A44)</f>
        <v>1.1724802448186398</v>
      </c>
      <c r="D44" s="45"/>
      <c r="E44" s="370">
        <v>1.2240092529487001</v>
      </c>
      <c r="F44" s="21"/>
      <c r="G44" s="370">
        <v>0.92428403140111992</v>
      </c>
      <c r="H44" s="45"/>
      <c r="I44" s="21">
        <f t="shared" ref="I44:I46" si="7">G44/E44</f>
        <v>0.75512830411573528</v>
      </c>
      <c r="J44" s="45"/>
      <c r="K44" s="370">
        <v>1</v>
      </c>
      <c r="L44" s="45"/>
      <c r="M44" s="370">
        <v>0.94599999999999995</v>
      </c>
      <c r="N44" s="45"/>
      <c r="O44" s="21">
        <v>1.0389999999999999</v>
      </c>
      <c r="P44" s="21"/>
      <c r="Q44" s="130">
        <v>1.0329999999999999</v>
      </c>
      <c r="R44" s="314"/>
      <c r="S44" s="121">
        <f t="shared" si="6"/>
        <v>0.93050759135991468</v>
      </c>
      <c r="T44" s="46"/>
      <c r="U44"/>
      <c r="V44"/>
      <c r="W44"/>
    </row>
    <row r="45" spans="1:23" s="199" customFormat="1" ht="16.350000000000001" customHeight="1">
      <c r="A45" s="120">
        <f>+'Exhibit 4.1'!B44</f>
        <v>2022</v>
      </c>
      <c r="B45" s="45"/>
      <c r="C45" s="21">
        <f>SUMIFS('Exhibit 5.1'!G:G,'Exhibit 5.1'!A:A,$A45)</f>
        <v>1.1299925258468</v>
      </c>
      <c r="D45" s="45"/>
      <c r="E45" s="370">
        <v>1.1879500400467451</v>
      </c>
      <c r="F45" s="21"/>
      <c r="G45" s="370">
        <v>0.96456859352991442</v>
      </c>
      <c r="H45" s="45"/>
      <c r="I45" s="21">
        <f t="shared" si="7"/>
        <v>0.81196057158427237</v>
      </c>
      <c r="J45" s="45"/>
      <c r="K45" s="370">
        <v>1</v>
      </c>
      <c r="L45" s="45"/>
      <c r="M45" s="370">
        <v>0.95499999999999996</v>
      </c>
      <c r="N45" s="45"/>
      <c r="O45" s="21">
        <v>1.0389999999999999</v>
      </c>
      <c r="P45" s="21"/>
      <c r="Q45" s="130">
        <v>0.99299999999999999</v>
      </c>
      <c r="R45" s="314"/>
      <c r="S45" s="121">
        <f t="shared" si="6"/>
        <v>0.91820751077840224</v>
      </c>
      <c r="T45" s="46"/>
      <c r="U45"/>
      <c r="V45"/>
      <c r="W45"/>
    </row>
    <row r="46" spans="1:23" s="108" customFormat="1" ht="16.350000000000001" customHeight="1">
      <c r="A46" s="120">
        <f>+'Exhibit 4.1'!B45</f>
        <v>2023</v>
      </c>
      <c r="B46" s="45"/>
      <c r="C46" s="21">
        <f>SUMIFS('Exhibit 5.1'!G:G,'Exhibit 5.1'!A:A,$A46)</f>
        <v>1.094847908</v>
      </c>
      <c r="D46" s="45"/>
      <c r="E46" s="370">
        <v>1.1118010849425624</v>
      </c>
      <c r="F46" s="21"/>
      <c r="G46" s="370">
        <v>0.97453569145552355</v>
      </c>
      <c r="H46" s="45"/>
      <c r="I46" s="21">
        <f t="shared" si="7"/>
        <v>0.87653781297206579</v>
      </c>
      <c r="J46" s="45"/>
      <c r="K46" s="370">
        <v>1</v>
      </c>
      <c r="L46" s="45"/>
      <c r="M46" s="370">
        <v>0.97</v>
      </c>
      <c r="N46" s="45"/>
      <c r="O46" s="21">
        <v>1.0389999999999999</v>
      </c>
      <c r="P46" s="21"/>
      <c r="Q46" s="20" t="s">
        <v>29</v>
      </c>
      <c r="R46" s="314"/>
      <c r="S46" s="20">
        <f t="shared" ref="S46" si="8">(C46*I46*K46)/(M46*O46)</f>
        <v>0.95221971048228515</v>
      </c>
      <c r="T46" s="46"/>
      <c r="U46"/>
      <c r="V46"/>
      <c r="W46"/>
    </row>
    <row r="47" spans="1:23" ht="16.350000000000001" customHeight="1">
      <c r="A47" s="82"/>
      <c r="B47" s="82"/>
      <c r="C47" s="22"/>
      <c r="D47" s="22"/>
      <c r="E47" s="22"/>
      <c r="F47" s="22"/>
      <c r="G47" s="22"/>
      <c r="H47" s="22"/>
      <c r="I47" s="31"/>
      <c r="J47" s="22"/>
      <c r="K47" s="22"/>
      <c r="L47" s="22"/>
      <c r="M47" s="22"/>
      <c r="N47" s="22"/>
      <c r="O47" s="22"/>
      <c r="P47" s="22"/>
      <c r="Q47" s="22"/>
      <c r="R47" s="22"/>
      <c r="S47" s="22"/>
    </row>
    <row r="48" spans="1:23" ht="16.350000000000001" customHeight="1">
      <c r="A48" s="22" t="s">
        <v>22</v>
      </c>
      <c r="B48" s="37" t="s">
        <v>150</v>
      </c>
      <c r="C48" s="82"/>
      <c r="D48" s="82"/>
      <c r="E48" s="82"/>
      <c r="F48" s="82"/>
      <c r="G48" s="82"/>
      <c r="H48" s="82"/>
      <c r="I48" s="28"/>
      <c r="J48" s="82"/>
      <c r="K48" s="82"/>
      <c r="L48" s="82"/>
      <c r="M48" s="82"/>
      <c r="N48" s="82"/>
      <c r="O48" s="82"/>
      <c r="P48" s="82"/>
      <c r="Q48" s="82"/>
      <c r="R48" s="82"/>
      <c r="S48" s="82"/>
    </row>
    <row r="49" spans="1:19" ht="16.350000000000001" customHeight="1">
      <c r="A49" s="22" t="s">
        <v>26</v>
      </c>
      <c r="B49" s="445" t="s">
        <v>151</v>
      </c>
      <c r="C49" s="445"/>
      <c r="D49" s="445"/>
      <c r="E49" s="445"/>
      <c r="F49" s="445"/>
      <c r="G49" s="445"/>
      <c r="H49" s="445"/>
      <c r="I49" s="445"/>
      <c r="J49" s="445"/>
      <c r="K49" s="445"/>
      <c r="L49" s="445"/>
      <c r="M49" s="445"/>
      <c r="N49" s="445"/>
      <c r="O49" s="445"/>
      <c r="P49" s="445"/>
      <c r="Q49" s="445"/>
      <c r="R49" s="445"/>
      <c r="S49" s="445"/>
    </row>
    <row r="50" spans="1:19" ht="16.350000000000001" customHeight="1">
      <c r="A50" s="22"/>
      <c r="B50" s="445" t="s">
        <v>152</v>
      </c>
      <c r="C50" s="445"/>
      <c r="D50" s="445"/>
      <c r="E50" s="445"/>
      <c r="F50" s="445"/>
      <c r="G50" s="445"/>
      <c r="H50" s="445"/>
      <c r="I50" s="445"/>
      <c r="J50" s="445"/>
      <c r="K50" s="445"/>
      <c r="L50" s="445"/>
      <c r="M50" s="445"/>
      <c r="N50" s="445"/>
      <c r="O50" s="445"/>
      <c r="P50" s="445"/>
      <c r="Q50" s="445"/>
      <c r="R50" s="445"/>
      <c r="S50" s="445"/>
    </row>
    <row r="51" spans="1:19" ht="16.350000000000001" customHeight="1">
      <c r="A51" s="22" t="s">
        <v>34</v>
      </c>
      <c r="B51" s="446" t="s">
        <v>367</v>
      </c>
      <c r="C51" s="446"/>
      <c r="D51" s="446"/>
      <c r="E51" s="446"/>
      <c r="F51" s="446"/>
      <c r="G51" s="446"/>
      <c r="H51" s="446"/>
      <c r="I51" s="446"/>
      <c r="J51" s="446"/>
      <c r="K51" s="446"/>
      <c r="L51" s="446"/>
      <c r="M51" s="446"/>
      <c r="N51" s="446"/>
      <c r="O51" s="446"/>
      <c r="P51" s="446"/>
      <c r="Q51" s="446"/>
      <c r="R51" s="446"/>
      <c r="S51" s="446"/>
    </row>
    <row r="52" spans="1:19" ht="16.350000000000001" customHeight="1">
      <c r="A52" s="22" t="s">
        <v>49</v>
      </c>
      <c r="B52" s="36" t="s">
        <v>339</v>
      </c>
      <c r="C52" s="82"/>
      <c r="D52" s="82"/>
      <c r="E52" s="82"/>
      <c r="F52" s="82"/>
      <c r="G52" s="82"/>
      <c r="H52" s="82"/>
      <c r="I52" s="28"/>
      <c r="J52" s="82"/>
      <c r="K52" s="82"/>
      <c r="L52" s="82"/>
      <c r="M52" s="82"/>
      <c r="N52" s="82"/>
      <c r="O52" s="82"/>
      <c r="P52" s="82"/>
      <c r="Q52" s="82"/>
      <c r="R52" s="82"/>
      <c r="S52" s="82"/>
    </row>
    <row r="53" spans="1:19" ht="16.350000000000001" customHeight="1">
      <c r="A53" s="22"/>
      <c r="B53" s="36" t="s">
        <v>479</v>
      </c>
      <c r="C53" s="82"/>
      <c r="D53" s="82"/>
      <c r="E53" s="82"/>
      <c r="F53" s="82"/>
      <c r="G53" s="82"/>
      <c r="H53" s="82"/>
      <c r="I53" s="28"/>
      <c r="J53" s="82"/>
      <c r="K53" s="82"/>
      <c r="L53" s="82"/>
      <c r="M53" s="82"/>
      <c r="N53" s="82"/>
      <c r="O53" s="82"/>
      <c r="P53" s="82"/>
      <c r="Q53" s="82"/>
      <c r="R53" s="82"/>
      <c r="S53" s="82"/>
    </row>
    <row r="54" spans="1:19" ht="16.350000000000001" customHeight="1">
      <c r="A54" s="22" t="s">
        <v>36</v>
      </c>
      <c r="B54" s="36" t="s">
        <v>153</v>
      </c>
      <c r="C54" s="82"/>
      <c r="D54" s="82"/>
      <c r="E54" s="82"/>
      <c r="F54" s="82"/>
      <c r="G54" s="82"/>
      <c r="H54" s="82"/>
      <c r="I54" s="28"/>
      <c r="J54" s="82"/>
      <c r="K54" s="82"/>
      <c r="L54" s="82"/>
      <c r="M54" s="82"/>
      <c r="N54" s="82"/>
      <c r="O54" s="82"/>
      <c r="P54" s="82"/>
      <c r="Q54" s="82"/>
      <c r="R54" s="82"/>
      <c r="S54" s="82"/>
    </row>
    <row r="55" spans="1:19" ht="16.350000000000001" customHeight="1">
      <c r="A55" s="22" t="s">
        <v>68</v>
      </c>
      <c r="B55" s="444" t="s">
        <v>154</v>
      </c>
      <c r="C55" s="444"/>
      <c r="D55" s="444"/>
      <c r="E55" s="444"/>
      <c r="F55" s="444"/>
      <c r="G55" s="444"/>
      <c r="H55" s="444"/>
      <c r="I55" s="444"/>
      <c r="J55" s="444"/>
      <c r="K55" s="444"/>
      <c r="L55" s="444"/>
      <c r="M55" s="444"/>
      <c r="N55" s="444"/>
      <c r="O55" s="444"/>
      <c r="P55" s="444"/>
      <c r="Q55" s="444"/>
      <c r="R55" s="444"/>
      <c r="S55" s="444"/>
    </row>
    <row r="56" spans="1:19" ht="16.350000000000001" customHeight="1">
      <c r="A56" s="22"/>
      <c r="B56" s="444" t="s">
        <v>155</v>
      </c>
      <c r="C56" s="444"/>
      <c r="D56" s="444"/>
      <c r="E56" s="444"/>
      <c r="F56" s="444"/>
      <c r="G56" s="444"/>
      <c r="H56" s="444"/>
      <c r="I56" s="444"/>
      <c r="J56" s="444"/>
      <c r="K56" s="444"/>
      <c r="L56" s="444"/>
      <c r="M56" s="444"/>
      <c r="N56" s="444"/>
      <c r="O56" s="444"/>
      <c r="P56" s="444"/>
      <c r="Q56" s="444"/>
      <c r="R56" s="80"/>
      <c r="S56" s="80"/>
    </row>
    <row r="57" spans="1:19" ht="16.350000000000001" customHeight="1">
      <c r="A57" s="22" t="s">
        <v>156</v>
      </c>
      <c r="B57" s="100" t="s">
        <v>157</v>
      </c>
      <c r="C57" s="28"/>
      <c r="D57" s="28"/>
      <c r="E57" s="82"/>
      <c r="F57" s="82"/>
      <c r="G57" s="82"/>
      <c r="H57" s="82"/>
      <c r="I57" s="28"/>
      <c r="J57" s="82"/>
      <c r="K57" s="82"/>
      <c r="L57" s="82"/>
      <c r="M57" s="82"/>
      <c r="N57" s="82"/>
      <c r="O57" s="82"/>
      <c r="P57" s="82"/>
      <c r="Q57" s="82"/>
      <c r="R57" s="82"/>
      <c r="S57" s="82"/>
    </row>
    <row r="58" spans="1:19" ht="16.350000000000001" customHeight="1">
      <c r="A58" s="82"/>
      <c r="B58" s="100" t="s">
        <v>340</v>
      </c>
      <c r="C58" s="28"/>
      <c r="D58" s="28"/>
      <c r="E58" s="82"/>
      <c r="F58" s="82"/>
      <c r="G58" s="82"/>
      <c r="H58" s="82"/>
      <c r="I58" s="28"/>
      <c r="J58" s="82"/>
      <c r="K58" s="82"/>
      <c r="L58" s="82"/>
      <c r="M58" s="82"/>
      <c r="N58" s="82"/>
      <c r="O58" s="82"/>
      <c r="P58" s="82"/>
      <c r="Q58" s="82"/>
      <c r="R58" s="82"/>
      <c r="S58" s="82"/>
    </row>
    <row r="59" spans="1:19" ht="16.350000000000001" customHeight="1">
      <c r="A59" s="82"/>
      <c r="B59" s="100" t="s">
        <v>328</v>
      </c>
      <c r="C59" s="28"/>
      <c r="D59" s="28"/>
      <c r="E59" s="82"/>
      <c r="F59" s="82"/>
      <c r="G59" s="82"/>
      <c r="H59" s="82"/>
      <c r="I59" s="28"/>
      <c r="J59" s="82"/>
      <c r="K59" s="82"/>
      <c r="L59" s="82"/>
      <c r="M59" s="82"/>
      <c r="N59" s="82"/>
      <c r="O59" s="82"/>
      <c r="P59" s="82"/>
      <c r="Q59" s="82"/>
      <c r="R59" s="82"/>
      <c r="S59" s="82"/>
    </row>
    <row r="60" spans="1:19" ht="16.350000000000001" customHeight="1">
      <c r="A60" s="22" t="s">
        <v>158</v>
      </c>
      <c r="B60" s="100" t="s">
        <v>341</v>
      </c>
      <c r="C60" s="28"/>
      <c r="D60" s="28"/>
      <c r="E60" s="82"/>
      <c r="F60" s="82"/>
      <c r="G60" s="82"/>
      <c r="H60" s="82"/>
      <c r="I60" s="28"/>
      <c r="J60" s="82"/>
      <c r="K60" s="82"/>
      <c r="L60" s="82"/>
      <c r="M60" s="82"/>
      <c r="N60" s="82"/>
      <c r="O60" s="82"/>
      <c r="P60" s="82"/>
      <c r="Q60" s="82"/>
      <c r="R60" s="82"/>
      <c r="S60" s="82"/>
    </row>
    <row r="61" spans="1:19">
      <c r="B61" s="311"/>
      <c r="C61" s="311"/>
      <c r="D61" s="311"/>
    </row>
  </sheetData>
  <mergeCells count="5">
    <mergeCell ref="B55:S55"/>
    <mergeCell ref="B56:Q56"/>
    <mergeCell ref="B49:S49"/>
    <mergeCell ref="B50:S50"/>
    <mergeCell ref="B51:S51"/>
  </mergeCells>
  <printOptions horizontalCentered="1"/>
  <pageMargins left="0.5" right="0.5" top="0.75" bottom="0.75" header="0.33" footer="0.33"/>
  <pageSetup scale="69" orientation="portrait" blackAndWhite="1" horizontalDpi="1200" verticalDpi="1200" r:id="rId1"/>
  <headerFooter scaleWithDoc="0">
    <oddHeader>&amp;R&amp;"Arial,Regular"&amp;10Exhibit 5.2</oddHeader>
  </headerFooter>
  <ignoredErrors>
    <ignoredError sqref="C3:S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J92"/>
  <sheetViews>
    <sheetView zoomScaleNormal="100" zoomScaleSheetLayoutView="100" workbookViewId="0"/>
  </sheetViews>
  <sheetFormatPr defaultColWidth="9.140625" defaultRowHeight="12.75"/>
  <cols>
    <col min="1" max="1" width="12.7109375" style="79" customWidth="1"/>
    <col min="2" max="8" width="16.85546875" style="79" customWidth="1"/>
    <col min="9" max="9" width="9.140625" style="53"/>
    <col min="10" max="10" width="22.42578125" style="53" bestFit="1" customWidth="1"/>
    <col min="11" max="16384" width="9.140625" style="53"/>
  </cols>
  <sheetData>
    <row r="1" spans="1:10" ht="12.75" customHeight="1">
      <c r="A1" s="85" t="s">
        <v>395</v>
      </c>
      <c r="B1" s="86"/>
      <c r="C1" s="86"/>
      <c r="D1" s="86"/>
      <c r="E1" s="86"/>
      <c r="F1" s="86"/>
      <c r="G1" s="86"/>
      <c r="H1" s="86"/>
      <c r="I1" s="71"/>
    </row>
    <row r="2" spans="1:10" ht="12.75" customHeight="1">
      <c r="A2" s="116" t="s">
        <v>368</v>
      </c>
      <c r="B2" s="200"/>
      <c r="C2" s="200"/>
      <c r="D2" s="200"/>
      <c r="E2" s="200"/>
      <c r="F2" s="200"/>
      <c r="G2" s="200"/>
      <c r="H2" s="200"/>
      <c r="I2" s="71"/>
    </row>
    <row r="3" spans="1:10" ht="12.75" customHeight="1">
      <c r="A3" s="116"/>
      <c r="B3" s="16"/>
      <c r="C3" s="16"/>
      <c r="D3" s="16"/>
      <c r="E3" s="16"/>
      <c r="F3" s="16"/>
      <c r="G3" s="16"/>
      <c r="H3" s="16"/>
      <c r="I3" s="71"/>
    </row>
    <row r="4" spans="1:10" ht="15">
      <c r="A4" s="199"/>
      <c r="B4" s="16" t="s">
        <v>159</v>
      </c>
      <c r="C4" s="16" t="s">
        <v>160</v>
      </c>
      <c r="D4" s="16"/>
      <c r="E4" s="16"/>
      <c r="F4" s="16"/>
      <c r="G4" s="116"/>
      <c r="H4" s="16"/>
      <c r="I4" s="71"/>
    </row>
    <row r="5" spans="1:10" ht="15">
      <c r="A5" s="199"/>
      <c r="B5" s="16" t="s">
        <v>161</v>
      </c>
      <c r="C5" s="201" t="s">
        <v>162</v>
      </c>
      <c r="D5" s="201"/>
      <c r="E5" s="201"/>
      <c r="F5" s="202" t="s">
        <v>163</v>
      </c>
      <c r="G5" s="202"/>
      <c r="H5" s="202" t="s">
        <v>164</v>
      </c>
      <c r="I5" s="71"/>
    </row>
    <row r="6" spans="1:10" ht="15">
      <c r="A6" s="199"/>
      <c r="B6" s="16" t="s">
        <v>165</v>
      </c>
      <c r="C6" s="16" t="s">
        <v>350</v>
      </c>
      <c r="D6" s="16"/>
      <c r="E6" s="16"/>
      <c r="F6" s="120" t="s">
        <v>3</v>
      </c>
      <c r="G6" s="120" t="s">
        <v>21</v>
      </c>
      <c r="H6" s="120" t="s">
        <v>166</v>
      </c>
      <c r="I6" s="71"/>
    </row>
    <row r="7" spans="1:10" ht="15">
      <c r="A7" s="198" t="s">
        <v>167</v>
      </c>
      <c r="B7" s="203" t="s">
        <v>108</v>
      </c>
      <c r="C7" s="203" t="s">
        <v>108</v>
      </c>
      <c r="D7" s="203" t="s">
        <v>21</v>
      </c>
      <c r="E7" s="203" t="s">
        <v>168</v>
      </c>
      <c r="F7" s="198" t="s">
        <v>169</v>
      </c>
      <c r="G7" s="198" t="s">
        <v>170</v>
      </c>
      <c r="H7" s="204" t="s">
        <v>171</v>
      </c>
      <c r="I7" s="71"/>
    </row>
    <row r="8" spans="1:10" ht="15">
      <c r="A8" s="120">
        <v>1962</v>
      </c>
      <c r="B8" s="381" t="s">
        <v>332</v>
      </c>
      <c r="C8" s="370" t="s">
        <v>332</v>
      </c>
      <c r="D8" s="365" t="s">
        <v>332</v>
      </c>
      <c r="E8" s="365" t="s">
        <v>332</v>
      </c>
      <c r="F8" s="370" t="s">
        <v>332</v>
      </c>
      <c r="G8" s="365" t="s">
        <v>332</v>
      </c>
      <c r="H8" s="365" t="s">
        <v>332</v>
      </c>
      <c r="I8" s="71"/>
    </row>
    <row r="9" spans="1:10" ht="15">
      <c r="A9" s="120">
        <v>1963</v>
      </c>
      <c r="B9" s="382">
        <v>2.0085371411999509E-2</v>
      </c>
      <c r="C9" s="383">
        <v>1.9886321256487122E-2</v>
      </c>
      <c r="D9" s="370" t="s">
        <v>332</v>
      </c>
      <c r="E9" s="370" t="s">
        <v>332</v>
      </c>
      <c r="F9" s="383">
        <v>0</v>
      </c>
      <c r="G9" s="370" t="s">
        <v>332</v>
      </c>
      <c r="H9" s="383">
        <v>-2.9931076960707799E-2</v>
      </c>
      <c r="I9" s="71"/>
    </row>
    <row r="10" spans="1:10" ht="15">
      <c r="A10" s="120">
        <v>1964</v>
      </c>
      <c r="B10" s="382">
        <v>2.573038829051022E-3</v>
      </c>
      <c r="C10" s="383">
        <v>2.5697342320003479E-3</v>
      </c>
      <c r="D10" s="370" t="s">
        <v>332</v>
      </c>
      <c r="E10" s="370" t="s">
        <v>332</v>
      </c>
      <c r="F10" s="383">
        <v>0</v>
      </c>
      <c r="G10" s="370" t="s">
        <v>332</v>
      </c>
      <c r="H10" s="383">
        <v>3.2833485325139801E-3</v>
      </c>
      <c r="I10" s="71"/>
    </row>
    <row r="11" spans="1:10" ht="15">
      <c r="A11" s="120">
        <v>1965</v>
      </c>
      <c r="B11" s="382">
        <v>-3.3916471525426983E-3</v>
      </c>
      <c r="C11" s="383">
        <v>-3.3974118259291366E-3</v>
      </c>
      <c r="D11" s="370" t="s">
        <v>332</v>
      </c>
      <c r="E11" s="370" t="s">
        <v>332</v>
      </c>
      <c r="F11" s="383">
        <v>0</v>
      </c>
      <c r="G11" s="370" t="s">
        <v>332</v>
      </c>
      <c r="H11" s="383">
        <v>1.9608949836097699E-2</v>
      </c>
      <c r="I11" s="71"/>
    </row>
    <row r="12" spans="1:10" ht="15">
      <c r="A12" s="120">
        <v>1966</v>
      </c>
      <c r="B12" s="382">
        <v>1.7277426170499544E-2</v>
      </c>
      <c r="C12" s="383">
        <v>1.712986862788685E-2</v>
      </c>
      <c r="D12" s="370" t="s">
        <v>332</v>
      </c>
      <c r="E12" s="370" t="s">
        <v>332</v>
      </c>
      <c r="F12" s="383">
        <v>0</v>
      </c>
      <c r="G12" s="370" t="s">
        <v>332</v>
      </c>
      <c r="H12" s="383">
        <v>0.19035346273026299</v>
      </c>
      <c r="I12" s="71"/>
    </row>
    <row r="13" spans="1:10" ht="15">
      <c r="A13" s="120">
        <v>1967</v>
      </c>
      <c r="B13" s="382">
        <v>1.7622022169485385E-2</v>
      </c>
      <c r="C13" s="383">
        <v>1.7468554652457696E-2</v>
      </c>
      <c r="D13" s="370" t="s">
        <v>332</v>
      </c>
      <c r="E13" s="370" t="s">
        <v>332</v>
      </c>
      <c r="F13" s="383">
        <v>0</v>
      </c>
      <c r="G13" s="370" t="s">
        <v>332</v>
      </c>
      <c r="H13" s="383">
        <v>-0.14733774993270901</v>
      </c>
      <c r="I13" s="71"/>
    </row>
    <row r="14" spans="1:10" ht="15">
      <c r="A14" s="120">
        <v>1968</v>
      </c>
      <c r="B14" s="382">
        <v>1.4403246192255414E-2</v>
      </c>
      <c r="C14" s="383">
        <v>1.4300504806365966E-2</v>
      </c>
      <c r="D14" s="370" t="s">
        <v>332</v>
      </c>
      <c r="E14" s="370" t="s">
        <v>332</v>
      </c>
      <c r="F14" s="383">
        <v>0</v>
      </c>
      <c r="G14" s="370" t="s">
        <v>332</v>
      </c>
      <c r="H14" s="383">
        <v>5.8165153331462098E-2</v>
      </c>
      <c r="I14" s="71"/>
    </row>
    <row r="15" spans="1:10" ht="15">
      <c r="A15" s="120">
        <v>1969</v>
      </c>
      <c r="B15" s="382">
        <v>2.673521007410673E-2</v>
      </c>
      <c r="C15" s="383">
        <v>2.638406914801443E-2</v>
      </c>
      <c r="D15" s="370" t="s">
        <v>332</v>
      </c>
      <c r="E15" s="370" t="s">
        <v>332</v>
      </c>
      <c r="F15" s="383">
        <v>4.8747599691602188E-2</v>
      </c>
      <c r="G15" s="370" t="s">
        <v>332</v>
      </c>
      <c r="H15" s="383">
        <v>4.2350772492273203E-2</v>
      </c>
      <c r="I15" s="71"/>
      <c r="J15" s="337"/>
    </row>
    <row r="16" spans="1:10" ht="15">
      <c r="A16" s="120">
        <v>1970</v>
      </c>
      <c r="B16" s="382">
        <v>1.8315843433777568E-2</v>
      </c>
      <c r="C16" s="383">
        <v>1.8150128783842857E-2</v>
      </c>
      <c r="D16" s="370" t="s">
        <v>332</v>
      </c>
      <c r="E16" s="370" t="s">
        <v>332</v>
      </c>
      <c r="F16" s="383">
        <v>0</v>
      </c>
      <c r="G16" s="370" t="s">
        <v>332</v>
      </c>
      <c r="H16" s="383">
        <v>-0.337888321906197</v>
      </c>
      <c r="I16" s="71"/>
      <c r="J16" s="337"/>
    </row>
    <row r="17" spans="1:10" ht="15">
      <c r="A17" s="120">
        <v>1971</v>
      </c>
      <c r="B17" s="382">
        <v>1.4681184847127993E-2</v>
      </c>
      <c r="C17" s="383">
        <v>1.4574459553994194E-2</v>
      </c>
      <c r="D17" s="370" t="s">
        <v>332</v>
      </c>
      <c r="E17" s="370" t="s">
        <v>332</v>
      </c>
      <c r="F17" s="383">
        <v>0</v>
      </c>
      <c r="G17" s="370" t="s">
        <v>332</v>
      </c>
      <c r="H17" s="383">
        <v>-0.187985372842042</v>
      </c>
      <c r="I17" s="71"/>
      <c r="J17" s="337"/>
    </row>
    <row r="18" spans="1:10" ht="15">
      <c r="A18" s="120">
        <v>1972</v>
      </c>
      <c r="B18" s="382">
        <v>-4.3058857101870629E-2</v>
      </c>
      <c r="C18" s="383">
        <v>-4.4013391094334282E-2</v>
      </c>
      <c r="D18" s="370" t="s">
        <v>332</v>
      </c>
      <c r="E18" s="370" t="s">
        <v>332</v>
      </c>
      <c r="F18" s="383">
        <v>0.16217581745681928</v>
      </c>
      <c r="G18" s="370" t="s">
        <v>332</v>
      </c>
      <c r="H18" s="383">
        <v>0.15776025751575201</v>
      </c>
      <c r="I18" s="71"/>
      <c r="J18" s="337"/>
    </row>
    <row r="19" spans="1:10" ht="15">
      <c r="A19" s="120">
        <v>1973</v>
      </c>
      <c r="B19" s="382">
        <v>6.9805941375666869E-2</v>
      </c>
      <c r="C19" s="383">
        <v>6.7477268825209477E-2</v>
      </c>
      <c r="D19" s="370" t="s">
        <v>332</v>
      </c>
      <c r="E19" s="370" t="s">
        <v>332</v>
      </c>
      <c r="F19" s="383">
        <v>4.8351819556574666E-2</v>
      </c>
      <c r="G19" s="370" t="s">
        <v>332</v>
      </c>
      <c r="H19" s="383">
        <v>8.8203888140997694E-2</v>
      </c>
      <c r="I19" s="71"/>
      <c r="J19" s="337"/>
    </row>
    <row r="20" spans="1:10" ht="15">
      <c r="A20" s="120">
        <v>1974</v>
      </c>
      <c r="B20" s="382">
        <v>0.19216592358177453</v>
      </c>
      <c r="C20" s="383">
        <v>0.17577175659178296</v>
      </c>
      <c r="D20" s="370" t="s">
        <v>332</v>
      </c>
      <c r="E20" s="370" t="s">
        <v>332</v>
      </c>
      <c r="F20" s="383">
        <v>4.0799301729506764E-2</v>
      </c>
      <c r="G20" s="370" t="s">
        <v>332</v>
      </c>
      <c r="H20" s="383">
        <v>-3.5960598037662703E-2</v>
      </c>
      <c r="I20" s="71"/>
      <c r="J20" s="337"/>
    </row>
    <row r="21" spans="1:10" ht="15">
      <c r="A21" s="120">
        <v>1975</v>
      </c>
      <c r="B21" s="382">
        <v>0.1251034421012176</v>
      </c>
      <c r="C21" s="383">
        <v>0.11787497996379172</v>
      </c>
      <c r="D21" s="370" t="s">
        <v>332</v>
      </c>
      <c r="E21" s="370" t="s">
        <v>332</v>
      </c>
      <c r="F21" s="383">
        <v>5.7889442467741081E-2</v>
      </c>
      <c r="G21" s="370" t="s">
        <v>332</v>
      </c>
      <c r="H21" s="383">
        <v>-0.30015219861025499</v>
      </c>
      <c r="I21" s="71"/>
      <c r="J21" s="337"/>
    </row>
    <row r="22" spans="1:10" ht="15">
      <c r="A22" s="120">
        <v>1976</v>
      </c>
      <c r="B22" s="382">
        <v>8.1324838828953361E-3</v>
      </c>
      <c r="C22" s="383">
        <v>8.0995934361999117E-3</v>
      </c>
      <c r="D22" s="370" t="s">
        <v>332</v>
      </c>
      <c r="E22" s="370" t="s">
        <v>332</v>
      </c>
      <c r="F22" s="383">
        <v>0</v>
      </c>
      <c r="G22" s="370" t="s">
        <v>332</v>
      </c>
      <c r="H22" s="383">
        <v>8.2871922314235E-2</v>
      </c>
      <c r="I22" s="71"/>
      <c r="J22" s="337"/>
    </row>
    <row r="23" spans="1:10" ht="15">
      <c r="A23" s="120">
        <v>1977</v>
      </c>
      <c r="B23" s="382">
        <v>4.2740824436842351E-2</v>
      </c>
      <c r="C23" s="383">
        <v>4.1852654666936218E-2</v>
      </c>
      <c r="D23" s="370" t="s">
        <v>332</v>
      </c>
      <c r="E23" s="370" t="s">
        <v>332</v>
      </c>
      <c r="F23" s="383">
        <v>6.2891569463582472E-2</v>
      </c>
      <c r="G23" s="370" t="s">
        <v>332</v>
      </c>
      <c r="H23" s="383">
        <v>0.110655764202773</v>
      </c>
      <c r="I23" s="71"/>
      <c r="J23" s="337"/>
    </row>
    <row r="24" spans="1:10" ht="15">
      <c r="A24" s="120">
        <v>1978</v>
      </c>
      <c r="B24" s="382">
        <v>-8.7157425484150619E-2</v>
      </c>
      <c r="C24" s="383">
        <v>-9.1191839852536941E-2</v>
      </c>
      <c r="D24" s="370" t="s">
        <v>332</v>
      </c>
      <c r="E24" s="370" t="s">
        <v>332</v>
      </c>
      <c r="F24" s="383">
        <v>7.9039975115445678E-4</v>
      </c>
      <c r="G24" s="370" t="s">
        <v>332</v>
      </c>
      <c r="H24" s="383">
        <v>0.167483170402074</v>
      </c>
      <c r="I24" s="71"/>
      <c r="J24" s="337"/>
    </row>
    <row r="25" spans="1:10" ht="12.75" customHeight="1">
      <c r="A25" s="120">
        <v>1979</v>
      </c>
      <c r="B25" s="382">
        <v>4.9972456106408547E-3</v>
      </c>
      <c r="C25" s="383">
        <v>4.9848008213538896E-3</v>
      </c>
      <c r="D25" s="384">
        <v>-5.2639485118230467E-2</v>
      </c>
      <c r="E25" s="384">
        <v>6.9886037738456676E-3</v>
      </c>
      <c r="F25" s="383">
        <v>0</v>
      </c>
      <c r="G25" s="383">
        <v>-5.96280888920733E-2</v>
      </c>
      <c r="H25" s="383">
        <v>0.133208469280507</v>
      </c>
      <c r="I25" s="71"/>
      <c r="J25" s="337"/>
    </row>
    <row r="26" spans="1:10" ht="12.75" customHeight="1">
      <c r="A26" s="120">
        <v>1980</v>
      </c>
      <c r="B26" s="382">
        <v>-6.5371990277708458E-2</v>
      </c>
      <c r="C26" s="383">
        <v>-6.760667942137745E-2</v>
      </c>
      <c r="D26" s="384">
        <v>-0.1319021190435517</v>
      </c>
      <c r="E26" s="384">
        <v>-6.5507403758263083E-2</v>
      </c>
      <c r="F26" s="383">
        <v>0</v>
      </c>
      <c r="G26" s="383">
        <v>-6.6394715285293504E-2</v>
      </c>
      <c r="H26" s="383">
        <v>-8.2390805822886007E-2</v>
      </c>
      <c r="I26" s="71"/>
      <c r="J26" s="337"/>
    </row>
    <row r="27" spans="1:10" ht="12.75" customHeight="1">
      <c r="A27" s="120">
        <v>1981</v>
      </c>
      <c r="B27" s="382">
        <v>-3.5389954973799154E-2</v>
      </c>
      <c r="C27" s="383">
        <v>-3.6031357731364233E-2</v>
      </c>
      <c r="D27" s="384">
        <v>-2.7881154891453253E-2</v>
      </c>
      <c r="E27" s="384">
        <v>-3.6289825423340957E-2</v>
      </c>
      <c r="F27" s="383">
        <v>3.3258233100083939E-2</v>
      </c>
      <c r="G27" s="383">
        <v>8.4086705318866493E-3</v>
      </c>
      <c r="H27" s="383">
        <v>-7.9312618956176098E-2</v>
      </c>
      <c r="I27" s="71"/>
      <c r="J27" s="337"/>
    </row>
    <row r="28" spans="1:10" ht="12.75" customHeight="1">
      <c r="A28" s="120">
        <v>1982</v>
      </c>
      <c r="B28" s="382">
        <v>-1.5933882846244418E-2</v>
      </c>
      <c r="C28" s="383">
        <v>-1.6062191957753956E-2</v>
      </c>
      <c r="D28" s="384">
        <v>0.1533563293757268</v>
      </c>
      <c r="E28" s="384">
        <v>-2.1958817487584832E-2</v>
      </c>
      <c r="F28" s="383">
        <v>0</v>
      </c>
      <c r="G28" s="383">
        <v>0.17531514686331301</v>
      </c>
      <c r="H28" s="383">
        <v>-0.293671572158542</v>
      </c>
      <c r="I28" s="71"/>
      <c r="J28" s="337"/>
    </row>
    <row r="29" spans="1:10" ht="12.75" customHeight="1">
      <c r="A29" s="120">
        <v>1983</v>
      </c>
      <c r="B29" s="382">
        <v>6.2017440465220064E-2</v>
      </c>
      <c r="C29" s="383">
        <v>6.0170344968537577E-2</v>
      </c>
      <c r="D29" s="384">
        <v>0.21350945902527316</v>
      </c>
      <c r="E29" s="384">
        <v>5.3861621923416633E-2</v>
      </c>
      <c r="F29" s="383">
        <v>0.35238649210176365</v>
      </c>
      <c r="G29" s="383">
        <v>0.15964783710185501</v>
      </c>
      <c r="H29" s="383">
        <v>2.8564847935491501E-2</v>
      </c>
      <c r="I29" s="71"/>
      <c r="J29" s="337"/>
    </row>
    <row r="30" spans="1:10" ht="12.75" customHeight="1">
      <c r="A30" s="120">
        <v>1984</v>
      </c>
      <c r="B30" s="382">
        <v>9.5255937342668018E-2</v>
      </c>
      <c r="C30" s="383">
        <v>9.098806869025465E-2</v>
      </c>
      <c r="D30" s="384">
        <v>0.23540351707534016</v>
      </c>
      <c r="E30" s="384">
        <v>8.4047619911448893E-2</v>
      </c>
      <c r="F30" s="383">
        <v>8.1444237360177044E-2</v>
      </c>
      <c r="G30" s="383">
        <v>0.151355897163892</v>
      </c>
      <c r="H30" s="383">
        <v>0.220937210439486</v>
      </c>
      <c r="I30" s="71"/>
      <c r="J30" s="337"/>
    </row>
    <row r="31" spans="1:10" ht="12.75" customHeight="1">
      <c r="A31" s="120">
        <v>1985</v>
      </c>
      <c r="B31" s="382">
        <v>2.0483696622655145E-2</v>
      </c>
      <c r="C31" s="383">
        <v>2.027672726817735E-2</v>
      </c>
      <c r="D31" s="384">
        <v>0.13787698638144422</v>
      </c>
      <c r="E31" s="384">
        <v>1.3792378997782344E-2</v>
      </c>
      <c r="F31" s="383">
        <v>0</v>
      </c>
      <c r="G31" s="383">
        <v>0.124084607383663</v>
      </c>
      <c r="H31" s="383">
        <v>7.9726126814323797E-2</v>
      </c>
      <c r="I31" s="71"/>
      <c r="J31" s="337"/>
    </row>
    <row r="32" spans="1:10" ht="12.75" customHeight="1">
      <c r="A32" s="120">
        <v>1986</v>
      </c>
      <c r="B32" s="382">
        <v>-2.3849790726567122E-2</v>
      </c>
      <c r="C32" s="383">
        <v>-2.413880146679662E-2</v>
      </c>
      <c r="D32" s="384">
        <v>3.8775183816385249E-2</v>
      </c>
      <c r="E32" s="384">
        <v>-2.7953513184460748E-2</v>
      </c>
      <c r="F32" s="383">
        <v>0</v>
      </c>
      <c r="G32" s="383">
        <v>6.6728697000844897E-2</v>
      </c>
      <c r="H32" s="383">
        <v>7.7013233629028593E-2</v>
      </c>
      <c r="I32" s="71"/>
      <c r="J32" s="337"/>
    </row>
    <row r="33" spans="1:10" ht="12.75" customHeight="1">
      <c r="A33" s="120">
        <v>1987</v>
      </c>
      <c r="B33" s="382">
        <v>1.5326176129534019E-2</v>
      </c>
      <c r="C33" s="383">
        <v>1.52099166626817E-2</v>
      </c>
      <c r="D33" s="384">
        <v>5.3487370165956824E-2</v>
      </c>
      <c r="E33" s="384">
        <v>1.2761194351392814E-2</v>
      </c>
      <c r="F33" s="383">
        <v>0</v>
      </c>
      <c r="G33" s="383">
        <v>4.0726175814564898E-2</v>
      </c>
      <c r="H33" s="383">
        <v>0.149971033111299</v>
      </c>
      <c r="I33" s="71"/>
      <c r="J33" s="337"/>
    </row>
    <row r="34" spans="1:10" ht="12.75" customHeight="1">
      <c r="A34" s="120">
        <v>1988</v>
      </c>
      <c r="B34" s="382">
        <v>6.9456906180132005E-3</v>
      </c>
      <c r="C34" s="383">
        <v>6.9216804230762628E-3</v>
      </c>
      <c r="D34" s="384">
        <v>0.10414137887100799</v>
      </c>
      <c r="E34" s="384">
        <v>2.334612185365785E-4</v>
      </c>
      <c r="F34" s="383">
        <v>0</v>
      </c>
      <c r="G34" s="383">
        <v>0.10390791765247399</v>
      </c>
      <c r="H34" s="383">
        <v>8.7318490672994103E-2</v>
      </c>
      <c r="I34" s="71"/>
      <c r="J34" s="337"/>
    </row>
    <row r="35" spans="1:10" ht="12.75" customHeight="1">
      <c r="A35" s="120">
        <v>1989</v>
      </c>
      <c r="B35" s="382">
        <v>2.4721859362042853E-2</v>
      </c>
      <c r="C35" s="383">
        <v>2.4421219046516816E-2</v>
      </c>
      <c r="D35" s="384">
        <v>0.21197872294699641</v>
      </c>
      <c r="E35" s="384">
        <v>9.3651846310022751E-3</v>
      </c>
      <c r="F35" s="383">
        <v>0</v>
      </c>
      <c r="G35" s="383">
        <v>0.20261353831598999</v>
      </c>
      <c r="H35" s="383">
        <v>4.4035380819184303E-2</v>
      </c>
      <c r="I35" s="71"/>
      <c r="J35" s="337"/>
    </row>
    <row r="36" spans="1:10" ht="12.75" customHeight="1">
      <c r="A36" s="120">
        <v>1990</v>
      </c>
      <c r="B36" s="382">
        <v>9.0429349025596295E-2</v>
      </c>
      <c r="C36" s="383">
        <v>8.6571516872147133E-2</v>
      </c>
      <c r="D36" s="384">
        <v>0.33726499551316408</v>
      </c>
      <c r="E36" s="384">
        <v>6.0973634204112427E-2</v>
      </c>
      <c r="F36" s="383">
        <v>4.6028738573505555E-2</v>
      </c>
      <c r="G36" s="383">
        <v>0.27629136130905602</v>
      </c>
      <c r="H36" s="383">
        <v>-0.121443700182603</v>
      </c>
      <c r="I36" s="71"/>
      <c r="J36" s="337"/>
    </row>
    <row r="37" spans="1:10" ht="12.75" customHeight="1">
      <c r="A37" s="120">
        <v>1991</v>
      </c>
      <c r="B37" s="382">
        <v>2.8122338846285899E-3</v>
      </c>
      <c r="C37" s="383">
        <v>2.8082869529827063E-3</v>
      </c>
      <c r="D37" s="384">
        <v>0.16630851369296126</v>
      </c>
      <c r="E37" s="384">
        <v>-1.8180564258929898E-2</v>
      </c>
      <c r="F37" s="383">
        <v>7.0942886375604683E-2</v>
      </c>
      <c r="G37" s="383">
        <v>0.18448907795189001</v>
      </c>
      <c r="H37" s="383">
        <v>-0.29279820191835998</v>
      </c>
      <c r="I37" s="71"/>
      <c r="J37" s="337"/>
    </row>
    <row r="38" spans="1:10" ht="12.75" customHeight="1">
      <c r="A38" s="120">
        <v>1992</v>
      </c>
      <c r="B38" s="382">
        <v>-0.10274430277546076</v>
      </c>
      <c r="C38" s="383">
        <v>-0.1084143993233793</v>
      </c>
      <c r="D38" s="384">
        <v>-0.26267669254494114</v>
      </c>
      <c r="E38" s="384">
        <v>-8.85113837006853E-2</v>
      </c>
      <c r="F38" s="383">
        <v>2.340777541294272E-2</v>
      </c>
      <c r="G38" s="383">
        <v>-0.17416530884425599</v>
      </c>
      <c r="H38" s="383">
        <v>-0.186170969509759</v>
      </c>
      <c r="I38" s="71"/>
      <c r="J38" s="337"/>
    </row>
    <row r="39" spans="1:10" ht="12.75" customHeight="1">
      <c r="A39" s="120">
        <v>1993</v>
      </c>
      <c r="B39" s="382">
        <v>-9.2100766826326952E-2</v>
      </c>
      <c r="C39" s="383">
        <v>-9.6621883220188068E-2</v>
      </c>
      <c r="D39" s="384">
        <v>-0.1754882673549378</v>
      </c>
      <c r="E39" s="384">
        <v>-8.7702050253412017E-2</v>
      </c>
      <c r="F39" s="383">
        <v>1.3154751304001039E-2</v>
      </c>
      <c r="G39" s="383">
        <v>-8.7786217101524705E-2</v>
      </c>
      <c r="H39" s="383">
        <v>-2.17433811808866E-2</v>
      </c>
      <c r="I39" s="71"/>
      <c r="J39" s="337"/>
    </row>
    <row r="40" spans="1:10" ht="12.75" customHeight="1">
      <c r="A40" s="120">
        <v>1994</v>
      </c>
      <c r="B40" s="382">
        <v>-0.10524780790580013</v>
      </c>
      <c r="C40" s="383">
        <v>-0.11120847938739654</v>
      </c>
      <c r="D40" s="384">
        <v>-0.16679990547801174</v>
      </c>
      <c r="E40" s="384">
        <v>-0.10537381655420563</v>
      </c>
      <c r="F40" s="383">
        <v>-5.6706294133613756E-2</v>
      </c>
      <c r="G40" s="383">
        <v>-6.1426088923810102E-2</v>
      </c>
      <c r="H40" s="383">
        <v>0.10610629114287901</v>
      </c>
      <c r="I40" s="71"/>
      <c r="J40" s="337"/>
    </row>
    <row r="41" spans="1:10" ht="12.75" customHeight="1">
      <c r="A41" s="120">
        <v>1995</v>
      </c>
      <c r="B41" s="382">
        <v>-2.8308618161841936E-3</v>
      </c>
      <c r="C41" s="383">
        <v>-2.8348762835536017E-3</v>
      </c>
      <c r="D41" s="384">
        <v>9.1735028455451773E-3</v>
      </c>
      <c r="E41" s="384">
        <v>-4.0650765944172948E-3</v>
      </c>
      <c r="F41" s="383">
        <v>6.1379405889037029E-2</v>
      </c>
      <c r="G41" s="383">
        <v>1.32385794399621E-2</v>
      </c>
      <c r="H41" s="383">
        <v>9.1715797175871694E-2</v>
      </c>
      <c r="I41" s="71"/>
      <c r="J41" s="337"/>
    </row>
    <row r="42" spans="1:10" ht="12.75" customHeight="1">
      <c r="A42" s="120">
        <v>1996</v>
      </c>
      <c r="B42" s="382">
        <v>-6.7844046677047576E-2</v>
      </c>
      <c r="C42" s="383">
        <v>-7.0255146403385413E-2</v>
      </c>
      <c r="D42" s="384">
        <v>-0.16496505019659677</v>
      </c>
      <c r="E42" s="384">
        <v>-6.0979598559718046E-2</v>
      </c>
      <c r="F42" s="383">
        <v>5.2576129225968458E-2</v>
      </c>
      <c r="G42" s="383">
        <v>-0.10398545163687301</v>
      </c>
      <c r="H42" s="383">
        <v>7.3910394800657697E-2</v>
      </c>
      <c r="I42" s="71"/>
      <c r="J42" s="337"/>
    </row>
    <row r="43" spans="1:10" ht="12.75" customHeight="1">
      <c r="A43" s="120">
        <v>1997</v>
      </c>
      <c r="B43" s="382">
        <v>-3.2852371800794811E-2</v>
      </c>
      <c r="C43" s="383">
        <v>-3.3404128997886029E-2</v>
      </c>
      <c r="D43" s="384">
        <v>-2.627714583384656E-2</v>
      </c>
      <c r="E43" s="384">
        <v>-3.4069098791221733E-2</v>
      </c>
      <c r="F43" s="383">
        <v>9.5585116390051669E-2</v>
      </c>
      <c r="G43" s="383">
        <v>7.7919529573717804E-3</v>
      </c>
      <c r="H43" s="383">
        <v>0.13678352407254299</v>
      </c>
      <c r="I43" s="71"/>
      <c r="J43" s="337"/>
    </row>
    <row r="44" spans="1:10" ht="12.75" customHeight="1">
      <c r="A44" s="120">
        <v>1998</v>
      </c>
      <c r="B44" s="382">
        <v>-3.7308565831522755E-2</v>
      </c>
      <c r="C44" s="383">
        <v>-3.8022339954143412E-2</v>
      </c>
      <c r="D44" s="384">
        <v>-2.0445982054083142E-2</v>
      </c>
      <c r="E44" s="384">
        <v>-3.9684601336271899E-2</v>
      </c>
      <c r="F44" s="383">
        <v>6.5591055844175003E-2</v>
      </c>
      <c r="G44" s="383">
        <v>1.9238619282194901E-2</v>
      </c>
      <c r="H44" s="383">
        <v>7.7586262607310094E-2</v>
      </c>
      <c r="I44" s="71"/>
      <c r="J44" s="337"/>
    </row>
    <row r="45" spans="1:10" ht="12.75" customHeight="1">
      <c r="A45" s="120">
        <v>1999</v>
      </c>
      <c r="B45" s="382">
        <v>1.4836945573630578E-2</v>
      </c>
      <c r="C45" s="383">
        <v>1.4727954833956156E-2</v>
      </c>
      <c r="D45" s="384">
        <v>9.71590481323544E-3</v>
      </c>
      <c r="E45" s="384">
        <v>1.5205227273889196E-2</v>
      </c>
      <c r="F45" s="383">
        <v>5.7708699010089543E-2</v>
      </c>
      <c r="G45" s="383">
        <v>-5.4893224606593601E-3</v>
      </c>
      <c r="H45" s="383">
        <v>0.126899854855615</v>
      </c>
      <c r="I45" s="71"/>
      <c r="J45" s="337"/>
    </row>
    <row r="46" spans="1:10" ht="12.75" customHeight="1">
      <c r="A46" s="120">
        <v>2000</v>
      </c>
      <c r="B46" s="382">
        <v>3.9606227481782774E-2</v>
      </c>
      <c r="C46" s="383">
        <v>3.8842014034458153E-2</v>
      </c>
      <c r="D46" s="384">
        <v>0.10058721158469947</v>
      </c>
      <c r="E46" s="384">
        <v>3.2775276614667531E-2</v>
      </c>
      <c r="F46" s="383">
        <v>3.9845917280876893E-2</v>
      </c>
      <c r="G46" s="383">
        <v>6.7811934970033197E-2</v>
      </c>
      <c r="H46" s="383">
        <v>6.5218972799743105E-2</v>
      </c>
      <c r="I46" s="71"/>
      <c r="J46" s="337"/>
    </row>
    <row r="47" spans="1:10" ht="12.75" customHeight="1">
      <c r="A47" s="120">
        <v>2001</v>
      </c>
      <c r="B47" s="382">
        <v>-6.9045523260142239E-2</v>
      </c>
      <c r="C47" s="383">
        <v>-7.1544900065067502E-2</v>
      </c>
      <c r="D47" s="384">
        <v>0.10570272770401026</v>
      </c>
      <c r="E47" s="384">
        <v>-9.1449874717774854E-2</v>
      </c>
      <c r="F47" s="383">
        <v>-3.103180999786116E-3</v>
      </c>
      <c r="G47" s="383">
        <v>0.19715260242178601</v>
      </c>
      <c r="H47" s="383">
        <v>-0.103831137195665</v>
      </c>
      <c r="I47" s="71"/>
      <c r="J47" s="337"/>
    </row>
    <row r="48" spans="1:10" ht="12.75" customHeight="1">
      <c r="A48" s="120">
        <v>2002</v>
      </c>
      <c r="B48" s="382">
        <v>-2.8440648274379421E-2</v>
      </c>
      <c r="C48" s="383">
        <v>-2.8852919158249363E-2</v>
      </c>
      <c r="D48" s="384">
        <v>0.19616596633803793</v>
      </c>
      <c r="E48" s="384">
        <v>-6.0585146459398088E-2</v>
      </c>
      <c r="F48" s="383">
        <v>-7.349595133649695E-3</v>
      </c>
      <c r="G48" s="383">
        <v>0.25675111279744001</v>
      </c>
      <c r="H48" s="383">
        <v>-0.21231754279807599</v>
      </c>
      <c r="I48" s="71"/>
      <c r="J48" s="337"/>
    </row>
    <row r="49" spans="1:10" ht="12.75" customHeight="1">
      <c r="A49" s="120">
        <v>2003</v>
      </c>
      <c r="B49" s="382">
        <v>-3.1840655743099466E-2</v>
      </c>
      <c r="C49" s="383">
        <v>-3.2358593416960554E-2</v>
      </c>
      <c r="D49" s="384">
        <v>2.4879227374826594E-2</v>
      </c>
      <c r="E49" s="384">
        <v>-4.1828876859815171E-2</v>
      </c>
      <c r="F49" s="383">
        <v>6.0028862535367128E-2</v>
      </c>
      <c r="G49" s="383">
        <v>6.670810423463E-2</v>
      </c>
      <c r="H49" s="383">
        <v>-1.9344541570121901E-2</v>
      </c>
      <c r="I49" s="71"/>
      <c r="J49" s="337"/>
    </row>
    <row r="50" spans="1:10" ht="12.75" customHeight="1">
      <c r="A50" s="120">
        <v>2004</v>
      </c>
      <c r="B50" s="382">
        <v>-0.1684151876210136</v>
      </c>
      <c r="C50" s="383">
        <v>-0.18442198629758422</v>
      </c>
      <c r="D50" s="384">
        <v>-0.32059895109344444</v>
      </c>
      <c r="E50" s="384">
        <v>-0.16287977935177961</v>
      </c>
      <c r="F50" s="383">
        <v>-6.5341083840120134E-2</v>
      </c>
      <c r="G50" s="383">
        <v>-0.157719171741658</v>
      </c>
      <c r="H50" s="383">
        <v>0.10261740654090901</v>
      </c>
      <c r="I50" s="71"/>
      <c r="J50" s="337"/>
    </row>
    <row r="51" spans="1:10" ht="12.75" customHeight="1">
      <c r="A51" s="120">
        <v>2005</v>
      </c>
      <c r="B51" s="382">
        <v>-0.13646598685158973</v>
      </c>
      <c r="C51" s="383">
        <v>-0.14672199230618407</v>
      </c>
      <c r="D51" s="384">
        <v>-0.34288461931431774</v>
      </c>
      <c r="E51" s="384">
        <v>-0.12103358249672712</v>
      </c>
      <c r="F51" s="383">
        <v>-0.39778538419240267</v>
      </c>
      <c r="G51" s="383">
        <v>-0.22185103681759399</v>
      </c>
      <c r="H51" s="383">
        <v>0.146832771581904</v>
      </c>
      <c r="I51" s="71"/>
      <c r="J51" s="337"/>
    </row>
    <row r="52" spans="1:10" ht="12.75" customHeight="1">
      <c r="A52" s="120">
        <v>2006</v>
      </c>
      <c r="B52" s="382">
        <v>-5.5958620186709052E-2</v>
      </c>
      <c r="C52" s="383">
        <v>-5.7585279249364386E-2</v>
      </c>
      <c r="D52" s="384">
        <v>-0.20438064075958259</v>
      </c>
      <c r="E52" s="384">
        <v>-4.1734813616882749E-2</v>
      </c>
      <c r="F52" s="383">
        <v>5.085640230810775E-2</v>
      </c>
      <c r="G52" s="383">
        <v>-0.16264582714270401</v>
      </c>
      <c r="H52" s="383">
        <v>9.3967897888736204E-2</v>
      </c>
      <c r="I52" s="71"/>
      <c r="J52" s="337"/>
    </row>
    <row r="53" spans="1:10" ht="12.75" customHeight="1">
      <c r="A53" s="120">
        <v>2007</v>
      </c>
      <c r="B53" s="382">
        <v>-1.6820047055853604E-2</v>
      </c>
      <c r="C53" s="383">
        <v>-1.6963110539335705E-2</v>
      </c>
      <c r="D53" s="384">
        <v>-4.174437688626384E-2</v>
      </c>
      <c r="E53" s="384">
        <v>-1.4531737328444155E-2</v>
      </c>
      <c r="F53" s="385">
        <v>1.6334087468424897E-2</v>
      </c>
      <c r="G53" s="383">
        <v>-2.7212639557802301E-2</v>
      </c>
      <c r="H53" s="383">
        <v>-7.9904146331695194E-2</v>
      </c>
      <c r="I53" s="71"/>
      <c r="J53" s="337"/>
    </row>
    <row r="54" spans="1:10" ht="12.75" customHeight="1">
      <c r="A54" s="120">
        <v>2008</v>
      </c>
      <c r="B54" s="382">
        <v>-2.7019606044288658E-2</v>
      </c>
      <c r="C54" s="383">
        <v>-2.7391347096053016E-2</v>
      </c>
      <c r="D54" s="384">
        <v>-1.2275293710488971E-2</v>
      </c>
      <c r="E54" s="384">
        <v>-2.8866555016862097E-2</v>
      </c>
      <c r="F54" s="385">
        <v>4.8656431170160629E-2</v>
      </c>
      <c r="G54" s="383">
        <v>1.65912613063584E-2</v>
      </c>
      <c r="H54" s="383">
        <v>-0.31615755828320702</v>
      </c>
      <c r="I54" s="71"/>
      <c r="J54" s="337"/>
    </row>
    <row r="55" spans="1:10" ht="12.75" customHeight="1">
      <c r="A55" s="120">
        <v>2009</v>
      </c>
      <c r="B55" s="382">
        <v>-2.6761555245737867E-3</v>
      </c>
      <c r="C55" s="383">
        <v>-2.6797428303243936E-3</v>
      </c>
      <c r="D55" s="384">
        <v>0.13330108347320879</v>
      </c>
      <c r="E55" s="384">
        <v>-1.7117003465612984E-2</v>
      </c>
      <c r="F55" s="385">
        <v>6.8547735255460998E-2</v>
      </c>
      <c r="G55" s="383">
        <v>0.150418086938825</v>
      </c>
      <c r="H55" s="383">
        <v>-0.46076635121082898</v>
      </c>
      <c r="I55" s="71"/>
      <c r="J55" s="337"/>
    </row>
    <row r="56" spans="1:10" ht="12.75" customHeight="1">
      <c r="A56" s="120">
        <v>2010</v>
      </c>
      <c r="B56" s="382">
        <v>8.8252646214377783E-2</v>
      </c>
      <c r="C56" s="383">
        <v>8.457333307090896E-2</v>
      </c>
      <c r="D56" s="384">
        <v>0.11470638836126794</v>
      </c>
      <c r="E56" s="384">
        <v>8.106821195684985E-2</v>
      </c>
      <c r="F56" s="385">
        <v>1.5623602633512968E-2</v>
      </c>
      <c r="G56" s="383">
        <v>3.3638176404422501E-2</v>
      </c>
      <c r="H56" s="383">
        <v>-7.6829101696372401E-2</v>
      </c>
      <c r="I56" s="71"/>
      <c r="J56" s="337"/>
    </row>
    <row r="57" spans="1:10" ht="12.75" customHeight="1">
      <c r="A57" s="120">
        <v>2011</v>
      </c>
      <c r="B57" s="382">
        <v>1.2156281927038881E-2</v>
      </c>
      <c r="C57" s="383">
        <v>1.2082987724035949E-2</v>
      </c>
      <c r="D57" s="384">
        <v>2.7632028174788787E-2</v>
      </c>
      <c r="E57" s="384">
        <v>1.0227597262692633E-2</v>
      </c>
      <c r="F57" s="385">
        <v>0</v>
      </c>
      <c r="G57" s="383">
        <v>1.7404430912085499E-2</v>
      </c>
      <c r="H57" s="383">
        <v>4.7004798293022301E-2</v>
      </c>
      <c r="I57" s="71"/>
      <c r="J57" s="337"/>
    </row>
    <row r="58" spans="1:10" ht="12.75" customHeight="1">
      <c r="A58" s="120">
        <v>2012</v>
      </c>
      <c r="B58" s="382">
        <v>4.705075772897005E-2</v>
      </c>
      <c r="C58" s="383">
        <v>4.5977409919596181E-2</v>
      </c>
      <c r="D58" s="384">
        <v>0.11463830890209704</v>
      </c>
      <c r="E58" s="384">
        <v>3.7385783892080762E-2</v>
      </c>
      <c r="F58" s="385">
        <v>2.8654470047896979E-3</v>
      </c>
      <c r="G58" s="383">
        <v>7.7252525010028897E-2</v>
      </c>
      <c r="H58" s="383">
        <v>0.12546495375577901</v>
      </c>
      <c r="I58" s="71"/>
      <c r="J58" s="337"/>
    </row>
    <row r="59" spans="1:10" ht="12.75" customHeight="1">
      <c r="A59" s="120">
        <v>2013</v>
      </c>
      <c r="B59" s="382">
        <v>3.611050532415172E-3</v>
      </c>
      <c r="C59" s="383">
        <v>3.6045463427103845E-3</v>
      </c>
      <c r="D59" s="384">
        <v>0.13054647160601415</v>
      </c>
      <c r="E59" s="384">
        <v>-1.4152428642586926E-2</v>
      </c>
      <c r="F59" s="385">
        <v>1.8824162156153193E-2</v>
      </c>
      <c r="G59" s="383">
        <v>0.144698900248591</v>
      </c>
      <c r="H59" s="383">
        <v>0.15345872951825801</v>
      </c>
      <c r="I59" s="71"/>
      <c r="J59" s="337"/>
    </row>
    <row r="60" spans="1:10" ht="12.75" customHeight="1">
      <c r="A60" s="120">
        <v>2014</v>
      </c>
      <c r="B60" s="386">
        <v>1.714602835865664E-3</v>
      </c>
      <c r="C60" s="385">
        <v>1.713134582497959E-3</v>
      </c>
      <c r="D60" s="387">
        <v>4.5725445316249065E-2</v>
      </c>
      <c r="E60" s="387">
        <v>-5.0716780942780624E-3</v>
      </c>
      <c r="F60" s="385">
        <v>6.9892696764317266E-2</v>
      </c>
      <c r="G60" s="383">
        <v>5.0797123410537597E-2</v>
      </c>
      <c r="H60" s="383">
        <v>0.17926888803272401</v>
      </c>
      <c r="I60" s="71"/>
      <c r="J60" s="337"/>
    </row>
    <row r="61" spans="1:10" ht="12.75" customHeight="1">
      <c r="A61" s="120">
        <v>2015</v>
      </c>
      <c r="B61" s="386">
        <v>-1.4615783506521485E-2</v>
      </c>
      <c r="C61" s="385">
        <v>-1.4723646360530774E-2</v>
      </c>
      <c r="D61" s="387">
        <v>7.7867662585402835E-3</v>
      </c>
      <c r="E61" s="387">
        <v>-1.8329627242072825E-2</v>
      </c>
      <c r="F61" s="385">
        <v>0</v>
      </c>
      <c r="G61" s="383">
        <v>2.61163935006123E-2</v>
      </c>
      <c r="H61" s="383">
        <v>0.19442532883726499</v>
      </c>
      <c r="I61" s="71"/>
      <c r="J61" s="337"/>
    </row>
    <row r="62" spans="1:10" ht="12.75" customHeight="1">
      <c r="A62" s="120">
        <v>2016</v>
      </c>
      <c r="B62" s="388">
        <v>-2.5839684132294538E-2</v>
      </c>
      <c r="C62" s="384">
        <v>-2.6179393537209644E-2</v>
      </c>
      <c r="D62" s="384">
        <v>3.2866959473818333E-2</v>
      </c>
      <c r="E62" s="384">
        <v>-3.609986871993779E-2</v>
      </c>
      <c r="F62" s="384">
        <v>0</v>
      </c>
      <c r="G62" s="384">
        <v>6.8966828193747207E-2</v>
      </c>
      <c r="H62" s="384">
        <v>0.12738121517376799</v>
      </c>
      <c r="I62" s="71"/>
      <c r="J62" s="337"/>
    </row>
    <row r="63" spans="1:10" ht="12.75" customHeight="1">
      <c r="A63" s="120">
        <v>2017</v>
      </c>
      <c r="B63" s="388">
        <v>-1.9394018663505097E-2</v>
      </c>
      <c r="C63" s="384">
        <v>-1.9584550113512348E-2</v>
      </c>
      <c r="D63" s="384">
        <v>-7.2995825064891912E-2</v>
      </c>
      <c r="E63" s="384">
        <v>-1.0581615998747462E-2</v>
      </c>
      <c r="F63" s="384">
        <v>0</v>
      </c>
      <c r="G63" s="384">
        <v>-6.2414209066137899E-2</v>
      </c>
      <c r="H63" s="384">
        <v>0.13040405073688699</v>
      </c>
      <c r="I63" s="71"/>
      <c r="J63" s="337"/>
    </row>
    <row r="64" spans="1:10" ht="12.75" customHeight="1">
      <c r="A64" s="120">
        <v>2018</v>
      </c>
      <c r="B64" s="388">
        <v>-3.6337882790259401E-3</v>
      </c>
      <c r="C64" s="384">
        <v>-3.6404065253894786E-3</v>
      </c>
      <c r="D64" s="384">
        <v>-6.0510606692264358E-2</v>
      </c>
      <c r="E64" s="384">
        <v>5.3501841987339148E-3</v>
      </c>
      <c r="F64" s="384">
        <v>0</v>
      </c>
      <c r="G64" s="384">
        <v>-6.5860790891000304E-2</v>
      </c>
      <c r="H64" s="384">
        <v>0.127167510178714</v>
      </c>
      <c r="I64" s="71"/>
      <c r="J64" s="337"/>
    </row>
    <row r="65" spans="1:10" ht="12.75" customHeight="1">
      <c r="A65" s="120">
        <v>2019</v>
      </c>
      <c r="B65" s="388">
        <v>1.7905524944038076E-2</v>
      </c>
      <c r="C65" s="384">
        <v>1.7747109248083637E-2</v>
      </c>
      <c r="D65" s="384">
        <v>3.8229665911155231E-2</v>
      </c>
      <c r="E65" s="384">
        <v>1.4577011858772087E-2</v>
      </c>
      <c r="F65" s="384">
        <v>0</v>
      </c>
      <c r="G65" s="384">
        <v>2.36526540523825E-2</v>
      </c>
      <c r="H65" s="384">
        <v>7.0017452595599897E-2</v>
      </c>
      <c r="I65" s="71"/>
      <c r="J65" s="337"/>
    </row>
    <row r="66" spans="1:10" ht="12.75" customHeight="1">
      <c r="A66" s="142">
        <v>2020</v>
      </c>
      <c r="B66" s="389">
        <v>-8.7155434949704569E-2</v>
      </c>
      <c r="C66" s="390">
        <v>-9.118965926594802E-2</v>
      </c>
      <c r="D66" s="390">
        <v>6.7189181348926361E-2</v>
      </c>
      <c r="E66" s="390">
        <v>-0.11843310570799478</v>
      </c>
      <c r="F66" s="390">
        <v>0</v>
      </c>
      <c r="G66" s="390">
        <v>0.18562228705693101</v>
      </c>
      <c r="H66" s="390">
        <v>-0.931920468365667</v>
      </c>
      <c r="I66" s="71"/>
      <c r="J66" s="337"/>
    </row>
    <row r="67" spans="1:10" ht="12.75" customHeight="1">
      <c r="A67" s="142">
        <v>2021</v>
      </c>
      <c r="B67" s="389">
        <v>3.2379368883846515E-2</v>
      </c>
      <c r="C67" s="390">
        <v>3.1866205016623676E-2</v>
      </c>
      <c r="D67" s="390">
        <v>-0.22538276140031341</v>
      </c>
      <c r="E67" s="390">
        <v>7.3745159052706469E-2</v>
      </c>
      <c r="F67" s="390">
        <v>0</v>
      </c>
      <c r="G67" s="390">
        <v>-0.299127920453025</v>
      </c>
      <c r="H67" s="390">
        <v>0.33204345315995099</v>
      </c>
      <c r="I67" s="71"/>
      <c r="J67" s="337"/>
    </row>
    <row r="68" spans="1:10" ht="12.75" customHeight="1">
      <c r="A68" s="338" t="s">
        <v>353</v>
      </c>
      <c r="B68" s="391">
        <v>-4.4038937631230013E-2</v>
      </c>
      <c r="C68" s="392">
        <v>-9.5601508300069086E-3</v>
      </c>
      <c r="D68" s="392">
        <v>0.10112231729911536</v>
      </c>
      <c r="E68" s="392">
        <v>-2.7935571995992163E-2</v>
      </c>
      <c r="F68" s="392">
        <v>2.2204460492503128E-16</v>
      </c>
      <c r="G68" s="392">
        <v>0.129057889295107</v>
      </c>
      <c r="H68" s="392">
        <v>0.63610142769925304</v>
      </c>
      <c r="I68" s="71"/>
      <c r="J68" s="337"/>
    </row>
    <row r="69" spans="1:10" ht="12.75" customHeight="1">
      <c r="A69" s="277">
        <v>2023</v>
      </c>
      <c r="B69" s="393">
        <v>-1.6492027931942266E-2</v>
      </c>
      <c r="C69" s="394">
        <v>-1.6629535371886679E-2</v>
      </c>
      <c r="D69" s="394">
        <v>4.6944120050205589E-2</v>
      </c>
      <c r="E69" s="394">
        <v>-2.7125047522256668E-2</v>
      </c>
      <c r="F69" s="394">
        <v>0</v>
      </c>
      <c r="G69" s="395">
        <v>7.4069167572462694E-2</v>
      </c>
      <c r="H69" s="395">
        <v>-9.5958590275743993E-2</v>
      </c>
      <c r="I69" s="71"/>
      <c r="J69" s="337"/>
    </row>
    <row r="70" spans="1:10" ht="12.6" customHeight="1">
      <c r="A70" s="120">
        <v>2024</v>
      </c>
      <c r="B70" s="396">
        <v>-2.4631389668835935E-2</v>
      </c>
      <c r="C70" s="397">
        <v>-2.4939817553557606E-2</v>
      </c>
      <c r="D70" s="397">
        <v>8.0127810738480527E-3</v>
      </c>
      <c r="E70" s="397">
        <v>-3.0694922100536932E-2</v>
      </c>
      <c r="F70" s="397">
        <v>0</v>
      </c>
      <c r="G70" s="384">
        <v>3.8707703174384898E-2</v>
      </c>
      <c r="H70" s="384">
        <v>-5.8446734955465797E-2</v>
      </c>
      <c r="I70" s="71"/>
      <c r="J70" s="337"/>
    </row>
    <row r="71" spans="1:10" ht="12.6" customHeight="1">
      <c r="A71" s="120">
        <v>2025</v>
      </c>
      <c r="B71" s="396">
        <v>-6.6736058083830541E-3</v>
      </c>
      <c r="C71" s="397">
        <v>-6.6959738883341198E-3</v>
      </c>
      <c r="D71" s="397">
        <v>1.0808670920730325E-2</v>
      </c>
      <c r="E71" s="397">
        <v>-9.845123924775618E-3</v>
      </c>
      <c r="F71" s="397">
        <v>0</v>
      </c>
      <c r="G71" s="384">
        <v>2.0653794845506099E-2</v>
      </c>
      <c r="H71" s="384">
        <v>0.18165865091318101</v>
      </c>
      <c r="I71" s="71"/>
      <c r="J71" s="337"/>
    </row>
    <row r="72" spans="1:10" ht="12.75" customHeight="1">
      <c r="A72" s="120">
        <v>2026</v>
      </c>
      <c r="B72" s="396">
        <v>-2.9794409538057121E-2</v>
      </c>
      <c r="C72" s="397">
        <v>-3.0247281012871712E-2</v>
      </c>
      <c r="D72" s="397">
        <v>-1.8743203032602237E-2</v>
      </c>
      <c r="E72" s="397">
        <v>-3.2352653702747293E-2</v>
      </c>
      <c r="F72" s="397">
        <v>0</v>
      </c>
      <c r="G72" s="384">
        <v>1.36094506701452E-2</v>
      </c>
      <c r="H72" s="384">
        <v>-2.3284853404492298E-2</v>
      </c>
      <c r="I72" s="71"/>
      <c r="J72" s="337"/>
    </row>
    <row r="73" spans="1:10" ht="12.75" customHeight="1">
      <c r="A73" s="199"/>
      <c r="B73" s="199"/>
      <c r="C73" s="199"/>
      <c r="D73" s="199"/>
      <c r="E73" s="199"/>
      <c r="F73" s="39"/>
      <c r="G73" s="199"/>
      <c r="H73" s="199"/>
      <c r="I73" s="71"/>
    </row>
    <row r="74" spans="1:10" ht="15">
      <c r="A74" s="199"/>
      <c r="B74" s="199"/>
      <c r="C74" s="98" t="s">
        <v>172</v>
      </c>
      <c r="D74" s="199"/>
      <c r="E74" s="199"/>
      <c r="F74" s="199"/>
      <c r="G74" s="199"/>
      <c r="H74" s="199"/>
      <c r="I74" s="71"/>
    </row>
    <row r="75" spans="1:10" ht="12.75" customHeight="1">
      <c r="A75" s="120"/>
      <c r="B75" s="24"/>
      <c r="C75" s="199" t="s">
        <v>173</v>
      </c>
      <c r="D75" s="199"/>
      <c r="E75" s="178">
        <v>-3.281869352713189E-2</v>
      </c>
      <c r="F75" s="87"/>
      <c r="G75" s="87"/>
      <c r="H75" s="199"/>
      <c r="I75" s="71"/>
    </row>
    <row r="76" spans="1:10" ht="12.75" customHeight="1">
      <c r="A76" s="120"/>
      <c r="B76" s="24"/>
      <c r="C76" s="199" t="s">
        <v>174</v>
      </c>
      <c r="D76" s="199"/>
      <c r="E76" s="178">
        <v>4.0527320208944007E-2</v>
      </c>
      <c r="F76" s="199"/>
      <c r="G76" s="199"/>
      <c r="H76" s="120"/>
      <c r="I76" s="71"/>
    </row>
    <row r="77" spans="1:10" ht="12.75" customHeight="1">
      <c r="A77" s="120"/>
      <c r="B77" s="88"/>
      <c r="C77" s="199" t="s">
        <v>175</v>
      </c>
      <c r="D77" s="199"/>
      <c r="E77" s="178">
        <v>0.43666307896973944</v>
      </c>
      <c r="F77" s="199"/>
      <c r="G77" s="199"/>
      <c r="H77" s="120"/>
      <c r="I77" s="71"/>
    </row>
    <row r="78" spans="1:10" ht="12.75" customHeight="1">
      <c r="A78" s="120"/>
      <c r="B78" s="88"/>
      <c r="C78" s="199" t="s">
        <v>176</v>
      </c>
      <c r="D78" s="199"/>
      <c r="E78" s="205">
        <v>41</v>
      </c>
      <c r="F78" s="199"/>
      <c r="G78" s="199"/>
      <c r="H78" s="120"/>
      <c r="I78" s="71"/>
    </row>
    <row r="79" spans="1:10" ht="12.75" customHeight="1">
      <c r="A79" s="120"/>
      <c r="B79" s="88"/>
      <c r="C79" s="199" t="s">
        <v>177</v>
      </c>
      <c r="D79" s="199"/>
      <c r="E79" s="205">
        <v>37</v>
      </c>
      <c r="F79" s="199"/>
      <c r="G79" s="199"/>
      <c r="H79" s="199"/>
      <c r="I79" s="71"/>
    </row>
    <row r="80" spans="1:10" ht="12.75" customHeight="1">
      <c r="A80" s="199"/>
      <c r="B80" s="199"/>
      <c r="C80" s="199"/>
      <c r="D80" s="199"/>
      <c r="E80" s="199"/>
      <c r="F80" s="199"/>
      <c r="G80" s="199"/>
      <c r="H80" s="199"/>
      <c r="I80" s="71"/>
    </row>
    <row r="81" spans="1:9" ht="12.75" customHeight="1">
      <c r="A81" s="199"/>
      <c r="B81" s="199"/>
      <c r="C81" s="199" t="s">
        <v>178</v>
      </c>
      <c r="D81" s="199"/>
      <c r="E81" s="199"/>
      <c r="F81" s="178">
        <v>0.18830232425723747</v>
      </c>
      <c r="G81" s="178">
        <v>0.2098054341423726</v>
      </c>
      <c r="H81" s="178">
        <v>0.10261163514318955</v>
      </c>
      <c r="I81" s="71"/>
    </row>
    <row r="82" spans="1:9" ht="12.75" customHeight="1">
      <c r="A82" s="199"/>
      <c r="B82" s="199"/>
      <c r="C82" s="199" t="s">
        <v>179</v>
      </c>
      <c r="D82" s="199"/>
      <c r="E82" s="199"/>
      <c r="F82" s="178">
        <v>7.6679741442528745E-2</v>
      </c>
      <c r="G82" s="178">
        <v>6.2082324377602992E-2</v>
      </c>
      <c r="H82" s="178">
        <v>4.2863806507341853E-2</v>
      </c>
      <c r="I82" s="71"/>
    </row>
    <row r="83" spans="1:9" ht="12.75" customHeight="1">
      <c r="A83" s="199"/>
      <c r="B83" s="199"/>
      <c r="C83" s="199"/>
      <c r="D83" s="199"/>
      <c r="E83" s="199"/>
      <c r="F83" s="199"/>
      <c r="G83" s="199"/>
      <c r="H83" s="199"/>
      <c r="I83" s="71"/>
    </row>
    <row r="84" spans="1:9" ht="12.75" customHeight="1">
      <c r="A84" s="199" t="s">
        <v>180</v>
      </c>
      <c r="B84" s="199"/>
      <c r="C84" s="199"/>
      <c r="D84" s="199"/>
      <c r="E84" s="199"/>
      <c r="F84" s="199"/>
      <c r="G84" s="199"/>
      <c r="H84" s="199"/>
      <c r="I84" s="71"/>
    </row>
    <row r="85" spans="1:9" ht="12.6" customHeight="1">
      <c r="A85" s="199" t="s">
        <v>321</v>
      </c>
      <c r="B85" s="199"/>
      <c r="C85" s="199"/>
      <c r="D85" s="199"/>
      <c r="E85" s="199"/>
      <c r="F85" s="199"/>
      <c r="G85" s="199"/>
      <c r="H85" s="199"/>
      <c r="I85" s="71"/>
    </row>
    <row r="86" spans="1:9" ht="12.75" customHeight="1">
      <c r="A86" s="199" t="s">
        <v>322</v>
      </c>
      <c r="B86" s="199"/>
      <c r="C86" s="199"/>
      <c r="D86" s="199"/>
      <c r="E86" s="199"/>
      <c r="F86" s="199"/>
      <c r="G86" s="199"/>
      <c r="H86" s="199"/>
      <c r="I86" s="71"/>
    </row>
    <row r="87" spans="1:9" ht="12.75" customHeight="1">
      <c r="A87" s="199" t="s">
        <v>410</v>
      </c>
      <c r="B87" s="199"/>
      <c r="C87" s="199"/>
      <c r="D87" s="199"/>
      <c r="E87" s="199"/>
      <c r="F87" s="199"/>
      <c r="G87" s="199"/>
      <c r="H87" s="199"/>
      <c r="I87" s="71"/>
    </row>
    <row r="88" spans="1:9" ht="12.75" customHeight="1">
      <c r="A88" s="199" t="s">
        <v>396</v>
      </c>
      <c r="B88" s="199"/>
      <c r="C88" s="199"/>
      <c r="D88" s="199"/>
      <c r="E88" s="199"/>
      <c r="F88" s="199"/>
      <c r="G88" s="199"/>
      <c r="H88" s="199"/>
      <c r="I88" s="71"/>
    </row>
    <row r="89" spans="1:9" ht="12.75" customHeight="1">
      <c r="A89" s="199" t="s">
        <v>397</v>
      </c>
      <c r="B89" s="199"/>
      <c r="C89" s="199"/>
      <c r="D89" s="199"/>
      <c r="E89" s="199"/>
      <c r="F89" s="199"/>
      <c r="G89" s="199"/>
      <c r="H89" s="199"/>
      <c r="I89" s="71"/>
    </row>
    <row r="90" spans="1:9">
      <c r="A90" s="199" t="s">
        <v>354</v>
      </c>
      <c r="B90" s="199"/>
      <c r="C90" s="199"/>
      <c r="D90" s="199"/>
      <c r="E90" s="199"/>
      <c r="F90" s="199"/>
      <c r="G90" s="199"/>
      <c r="H90" s="199"/>
    </row>
    <row r="91" spans="1:9">
      <c r="B91" s="199"/>
      <c r="C91" s="199"/>
      <c r="D91" s="199"/>
      <c r="E91" s="199"/>
      <c r="F91" s="199"/>
      <c r="G91" s="199"/>
      <c r="H91" s="199"/>
    </row>
    <row r="92" spans="1:9">
      <c r="A92" s="199"/>
      <c r="B92" s="199"/>
      <c r="C92" s="199"/>
      <c r="D92" s="199"/>
      <c r="E92" s="199"/>
      <c r="F92" s="199"/>
      <c r="G92" s="199"/>
      <c r="H92" s="199"/>
    </row>
  </sheetData>
  <printOptions horizontalCentered="1"/>
  <pageMargins left="0.5" right="0.5" top="0.75" bottom="0.75" header="0.33" footer="0.33"/>
  <pageSetup scale="59" orientation="portrait" blackAndWhite="1" horizontalDpi="1200" verticalDpi="1200" r:id="rId1"/>
  <headerFooter scaleWithDoc="0">
    <oddHeader>&amp;R&amp;"Arial,Regular"&amp;10Exhibit 6.1</oddHeader>
  </headerFooter>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M56"/>
  <sheetViews>
    <sheetView zoomScaleNormal="100" zoomScaleSheetLayoutView="100" workbookViewId="0"/>
  </sheetViews>
  <sheetFormatPr defaultColWidth="9.140625" defaultRowHeight="12.75"/>
  <cols>
    <col min="1" max="1" width="4" style="53" customWidth="1"/>
    <col min="2" max="2" width="9.140625" style="53"/>
    <col min="3" max="3" width="5" style="53" customWidth="1"/>
    <col min="4" max="4" width="9.140625" style="53"/>
    <col min="5" max="5" width="5.85546875" style="53" customWidth="1"/>
    <col min="6" max="6" width="9.140625" style="53"/>
    <col min="7" max="7" width="5" style="53" customWidth="1"/>
    <col min="8" max="8" width="9.140625" style="53"/>
    <col min="9" max="9" width="6.85546875" style="53" customWidth="1"/>
    <col min="10" max="10" width="9.140625" style="53"/>
    <col min="11" max="11" width="5" style="53" customWidth="1"/>
    <col min="12" max="12" width="9.140625" style="53"/>
    <col min="13" max="13" width="4" style="53" customWidth="1"/>
    <col min="14" max="16384" width="9.140625" style="53"/>
  </cols>
  <sheetData>
    <row r="1" spans="1:13">
      <c r="A1" s="99" t="s">
        <v>181</v>
      </c>
      <c r="B1" s="99"/>
      <c r="C1" s="99"/>
      <c r="D1" s="99"/>
      <c r="E1" s="99"/>
      <c r="F1" s="99"/>
      <c r="G1" s="99"/>
      <c r="H1" s="99"/>
      <c r="I1" s="99"/>
      <c r="J1" s="99"/>
      <c r="K1" s="99"/>
      <c r="L1" s="99"/>
      <c r="M1" s="99"/>
    </row>
    <row r="2" spans="1:13">
      <c r="A2" s="99" t="s">
        <v>492</v>
      </c>
      <c r="B2" s="99"/>
      <c r="C2" s="99"/>
      <c r="D2" s="99"/>
      <c r="E2" s="99"/>
      <c r="F2" s="99"/>
      <c r="G2" s="99"/>
      <c r="H2" s="99"/>
      <c r="I2" s="99"/>
      <c r="J2" s="99"/>
      <c r="K2" s="99"/>
      <c r="L2" s="99"/>
      <c r="M2" s="99"/>
    </row>
    <row r="3" spans="1:13">
      <c r="A3" s="281"/>
      <c r="B3" s="281"/>
      <c r="C3" s="281"/>
      <c r="D3" s="281"/>
      <c r="E3" s="281"/>
      <c r="F3" s="281"/>
      <c r="G3" s="281"/>
      <c r="H3" s="281"/>
      <c r="I3" s="281"/>
      <c r="J3" s="281"/>
      <c r="K3" s="281"/>
      <c r="L3" s="281"/>
      <c r="M3" s="281"/>
    </row>
    <row r="4" spans="1:13">
      <c r="A4" s="281"/>
      <c r="B4" s="281"/>
      <c r="C4" s="281"/>
      <c r="D4" s="29" t="s">
        <v>38</v>
      </c>
      <c r="E4" s="29"/>
      <c r="F4" s="29" t="s">
        <v>39</v>
      </c>
      <c r="G4" s="29"/>
      <c r="H4" s="29" t="s">
        <v>40</v>
      </c>
      <c r="I4" s="29"/>
      <c r="J4" s="29" t="s">
        <v>41</v>
      </c>
      <c r="K4" s="29"/>
      <c r="L4" s="29" t="s">
        <v>42</v>
      </c>
      <c r="M4" s="29"/>
    </row>
    <row r="5" spans="1:13">
      <c r="A5" s="281"/>
      <c r="B5" s="281"/>
      <c r="C5" s="281"/>
      <c r="D5" s="28" t="s">
        <v>182</v>
      </c>
      <c r="E5" s="28"/>
      <c r="F5" s="28"/>
      <c r="G5" s="281"/>
      <c r="H5" s="28" t="s">
        <v>3</v>
      </c>
      <c r="I5" s="281"/>
      <c r="J5" s="28" t="s">
        <v>47</v>
      </c>
      <c r="K5" s="28"/>
      <c r="L5" s="28"/>
      <c r="M5" s="28"/>
    </row>
    <row r="6" spans="1:13">
      <c r="A6" s="281"/>
      <c r="B6" s="28" t="s">
        <v>183</v>
      </c>
      <c r="C6" s="281"/>
      <c r="D6" s="28" t="s">
        <v>47</v>
      </c>
      <c r="E6" s="28"/>
      <c r="F6" s="28" t="s">
        <v>55</v>
      </c>
      <c r="G6" s="281"/>
      <c r="H6" s="28" t="s">
        <v>129</v>
      </c>
      <c r="I6" s="281"/>
      <c r="J6" s="28" t="s">
        <v>197</v>
      </c>
      <c r="K6" s="28"/>
      <c r="L6" s="28" t="s">
        <v>55</v>
      </c>
      <c r="M6" s="28"/>
    </row>
    <row r="7" spans="1:13">
      <c r="A7" s="281"/>
      <c r="B7" s="30" t="s">
        <v>8</v>
      </c>
      <c r="C7" s="280"/>
      <c r="D7" s="30" t="s">
        <v>188</v>
      </c>
      <c r="E7" s="30"/>
      <c r="F7" s="30" t="s">
        <v>185</v>
      </c>
      <c r="G7" s="280"/>
      <c r="H7" s="30" t="s">
        <v>189</v>
      </c>
      <c r="I7" s="280"/>
      <c r="J7" s="30" t="s">
        <v>184</v>
      </c>
      <c r="K7" s="30"/>
      <c r="L7" s="30" t="s">
        <v>185</v>
      </c>
      <c r="M7" s="30"/>
    </row>
    <row r="8" spans="1:13">
      <c r="A8" s="281"/>
      <c r="B8" s="281"/>
      <c r="C8" s="281"/>
      <c r="D8" s="102"/>
      <c r="E8" s="102"/>
      <c r="F8" s="102"/>
      <c r="G8" s="281"/>
      <c r="H8" s="40"/>
      <c r="I8" s="281"/>
      <c r="J8" s="222" t="s">
        <v>186</v>
      </c>
      <c r="K8" s="222"/>
      <c r="L8" s="28"/>
      <c r="M8" s="28"/>
    </row>
    <row r="9" spans="1:13">
      <c r="A9" s="281"/>
      <c r="B9" s="281"/>
      <c r="C9" s="281"/>
      <c r="D9" s="102"/>
      <c r="E9" s="102"/>
      <c r="F9" s="102"/>
      <c r="G9" s="281"/>
      <c r="H9" s="40"/>
      <c r="I9" s="281"/>
      <c r="J9" s="28"/>
      <c r="K9" s="28"/>
      <c r="L9" s="28"/>
      <c r="M9" s="28"/>
    </row>
    <row r="10" spans="1:13">
      <c r="A10" s="281"/>
      <c r="B10" s="28">
        <v>1990</v>
      </c>
      <c r="C10" s="281"/>
      <c r="D10" s="398">
        <v>10017.433534493895</v>
      </c>
      <c r="E10" s="102"/>
      <c r="F10" s="223" t="s">
        <v>29</v>
      </c>
      <c r="G10" s="281"/>
      <c r="H10" s="399">
        <v>2.2238312409353416</v>
      </c>
      <c r="I10" s="281"/>
      <c r="J10" s="102">
        <f t="shared" ref="J10:J34" si="0">+D10*H10</f>
        <v>22277.081648000865</v>
      </c>
      <c r="K10" s="102"/>
      <c r="L10" s="223" t="s">
        <v>29</v>
      </c>
      <c r="M10" s="223"/>
    </row>
    <row r="11" spans="1:13">
      <c r="A11" s="281"/>
      <c r="B11" s="28">
        <f>B10+1</f>
        <v>1991</v>
      </c>
      <c r="C11" s="281"/>
      <c r="D11" s="398">
        <v>10939.78109699241</v>
      </c>
      <c r="E11" s="102"/>
      <c r="F11" s="47">
        <f t="shared" ref="F11:F34" si="1">+D11/D10-1</f>
        <v>9.2074238308895717E-2</v>
      </c>
      <c r="G11" s="281"/>
      <c r="H11" s="399">
        <v>2.103128490602673</v>
      </c>
      <c r="I11" s="281"/>
      <c r="J11" s="102">
        <f t="shared" si="0"/>
        <v>23007.765306041303</v>
      </c>
      <c r="K11" s="102"/>
      <c r="L11" s="47">
        <f t="shared" ref="L11:L34" si="2">+J11/J10-1</f>
        <v>3.2799792611345469E-2</v>
      </c>
      <c r="M11" s="47"/>
    </row>
    <row r="12" spans="1:13">
      <c r="A12" s="281"/>
      <c r="B12" s="28">
        <f t="shared" ref="B12:B43" si="3">B11+1</f>
        <v>1992</v>
      </c>
      <c r="C12" s="281"/>
      <c r="D12" s="398">
        <v>11018.054247086002</v>
      </c>
      <c r="E12" s="102"/>
      <c r="F12" s="47">
        <f t="shared" si="1"/>
        <v>7.1549100845456071E-3</v>
      </c>
      <c r="G12" s="281"/>
      <c r="H12" s="399">
        <v>2.0334070303461638</v>
      </c>
      <c r="I12" s="281"/>
      <c r="J12" s="102">
        <f t="shared" si="0"/>
        <v>22404.188966760084</v>
      </c>
      <c r="K12" s="102"/>
      <c r="L12" s="47">
        <f t="shared" si="2"/>
        <v>-2.6233592495953251E-2</v>
      </c>
      <c r="M12" s="47"/>
    </row>
    <row r="13" spans="1:13">
      <c r="A13" s="281"/>
      <c r="B13" s="28">
        <f t="shared" si="3"/>
        <v>1993</v>
      </c>
      <c r="C13" s="281"/>
      <c r="D13" s="398">
        <v>11973.225261765392</v>
      </c>
      <c r="E13" s="102"/>
      <c r="F13" s="47">
        <f t="shared" si="1"/>
        <v>8.6691442359889459E-2</v>
      </c>
      <c r="G13" s="281"/>
      <c r="H13" s="399">
        <v>2.02126328055658</v>
      </c>
      <c r="I13" s="281"/>
      <c r="J13" s="102">
        <f t="shared" si="0"/>
        <v>24201.040571438833</v>
      </c>
      <c r="K13" s="102"/>
      <c r="L13" s="47">
        <f t="shared" si="2"/>
        <v>8.0201591199960065E-2</v>
      </c>
      <c r="M13" s="47"/>
    </row>
    <row r="14" spans="1:13">
      <c r="A14" s="281"/>
      <c r="B14" s="28">
        <f t="shared" si="3"/>
        <v>1994</v>
      </c>
      <c r="C14" s="281"/>
      <c r="D14" s="398">
        <v>12972.438881773007</v>
      </c>
      <c r="E14" s="102"/>
      <c r="F14" s="47">
        <f t="shared" si="1"/>
        <v>8.3454006599077868E-2</v>
      </c>
      <c r="G14" s="281"/>
      <c r="H14" s="399">
        <v>2.1171844387380458</v>
      </c>
      <c r="I14" s="281"/>
      <c r="J14" s="102">
        <f t="shared" si="0"/>
        <v>27465.045732970186</v>
      </c>
      <c r="K14" s="102"/>
      <c r="L14" s="47">
        <f t="shared" si="2"/>
        <v>0.13487044707422258</v>
      </c>
      <c r="M14" s="47"/>
    </row>
    <row r="15" spans="1:13">
      <c r="A15" s="281"/>
      <c r="B15" s="28">
        <f t="shared" si="3"/>
        <v>1995</v>
      </c>
      <c r="C15" s="281"/>
      <c r="D15" s="398">
        <v>14568.212844765114</v>
      </c>
      <c r="E15" s="102"/>
      <c r="F15" s="47">
        <f t="shared" si="1"/>
        <v>0.12301264068657569</v>
      </c>
      <c r="G15" s="281"/>
      <c r="H15" s="399">
        <v>1.9719870334640857</v>
      </c>
      <c r="I15" s="281"/>
      <c r="J15" s="102">
        <f t="shared" si="0"/>
        <v>28728.326830621747</v>
      </c>
      <c r="K15" s="102"/>
      <c r="L15" s="47">
        <f t="shared" si="2"/>
        <v>4.5995958278528093E-2</v>
      </c>
      <c r="M15" s="47"/>
    </row>
    <row r="16" spans="1:13">
      <c r="A16" s="281"/>
      <c r="B16" s="28">
        <f t="shared" si="3"/>
        <v>1996</v>
      </c>
      <c r="C16" s="281"/>
      <c r="D16" s="398">
        <v>16504.170228883966</v>
      </c>
      <c r="E16" s="102"/>
      <c r="F16" s="47">
        <f t="shared" si="1"/>
        <v>0.13288914740249091</v>
      </c>
      <c r="G16" s="281"/>
      <c r="H16" s="399">
        <v>1.8505259145375021</v>
      </c>
      <c r="I16" s="281"/>
      <c r="J16" s="102">
        <f t="shared" si="0"/>
        <v>30541.394706488118</v>
      </c>
      <c r="K16" s="102"/>
      <c r="L16" s="47">
        <f t="shared" si="2"/>
        <v>6.3110806506622152E-2</v>
      </c>
      <c r="M16" s="47"/>
    </row>
    <row r="17" spans="1:13">
      <c r="A17" s="281"/>
      <c r="B17" s="28">
        <f t="shared" si="3"/>
        <v>1997</v>
      </c>
      <c r="C17" s="281"/>
      <c r="D17" s="398">
        <v>19393.281022074487</v>
      </c>
      <c r="E17" s="102"/>
      <c r="F17" s="47">
        <f t="shared" si="1"/>
        <v>0.17505338063796061</v>
      </c>
      <c r="G17" s="281"/>
      <c r="H17" s="399">
        <v>1.6603316081596033</v>
      </c>
      <c r="I17" s="281"/>
      <c r="J17" s="102">
        <f t="shared" si="0"/>
        <v>32199.277466872049</v>
      </c>
      <c r="K17" s="102"/>
      <c r="L17" s="47">
        <f t="shared" si="2"/>
        <v>5.4283138550700771E-2</v>
      </c>
      <c r="M17" s="47"/>
    </row>
    <row r="18" spans="1:13">
      <c r="A18" s="281"/>
      <c r="B18" s="28">
        <f t="shared" si="3"/>
        <v>1998</v>
      </c>
      <c r="C18" s="281"/>
      <c r="D18" s="398">
        <v>21273.02187973788</v>
      </c>
      <c r="E18" s="102"/>
      <c r="F18" s="47">
        <f t="shared" si="1"/>
        <v>9.6927428397689308E-2</v>
      </c>
      <c r="G18" s="281"/>
      <c r="H18" s="399">
        <v>1.5314310561624132</v>
      </c>
      <c r="I18" s="281"/>
      <c r="J18" s="102">
        <f t="shared" si="0"/>
        <v>32578.166365053105</v>
      </c>
      <c r="K18" s="102"/>
      <c r="L18" s="47">
        <f t="shared" si="2"/>
        <v>1.176700000709241E-2</v>
      </c>
      <c r="M18" s="47"/>
    </row>
    <row r="19" spans="1:13">
      <c r="A19" s="281"/>
      <c r="B19" s="28">
        <f t="shared" si="3"/>
        <v>1999</v>
      </c>
      <c r="C19" s="281"/>
      <c r="D19" s="398">
        <v>23129.107176898488</v>
      </c>
      <c r="E19" s="102"/>
      <c r="F19" s="47">
        <f t="shared" si="1"/>
        <v>8.7250664604848316E-2</v>
      </c>
      <c r="G19" s="281"/>
      <c r="H19" s="399">
        <v>1.4190468062479913</v>
      </c>
      <c r="I19" s="281"/>
      <c r="J19" s="102">
        <f t="shared" si="0"/>
        <v>32821.285670745296</v>
      </c>
      <c r="K19" s="102"/>
      <c r="L19" s="47">
        <f t="shared" si="2"/>
        <v>7.4626454714463719E-3</v>
      </c>
      <c r="M19" s="47"/>
    </row>
    <row r="20" spans="1:13">
      <c r="A20" s="281"/>
      <c r="B20" s="28">
        <f t="shared" si="3"/>
        <v>2000</v>
      </c>
      <c r="C20" s="281"/>
      <c r="D20" s="398">
        <v>24821.001239631241</v>
      </c>
      <c r="E20" s="102"/>
      <c r="F20" s="47">
        <f t="shared" si="1"/>
        <v>7.3149994497955673E-2</v>
      </c>
      <c r="G20" s="281"/>
      <c r="H20" s="399">
        <v>1.3247151641257602</v>
      </c>
      <c r="I20" s="281"/>
      <c r="J20" s="102">
        <f t="shared" si="0"/>
        <v>32880.7567309238</v>
      </c>
      <c r="K20" s="102"/>
      <c r="L20" s="47">
        <f t="shared" si="2"/>
        <v>1.8119661970315004E-3</v>
      </c>
      <c r="M20" s="47"/>
    </row>
    <row r="21" spans="1:13">
      <c r="A21" s="281"/>
      <c r="B21" s="28">
        <f t="shared" si="3"/>
        <v>2001</v>
      </c>
      <c r="C21" s="281"/>
      <c r="D21" s="398">
        <v>27175.013319932415</v>
      </c>
      <c r="E21" s="102"/>
      <c r="F21" s="47">
        <f t="shared" si="1"/>
        <v>9.4839529540918122E-2</v>
      </c>
      <c r="G21" s="281"/>
      <c r="H21" s="399">
        <v>1.326049169590368</v>
      </c>
      <c r="I21" s="281"/>
      <c r="J21" s="102">
        <f t="shared" si="0"/>
        <v>36035.40384650357</v>
      </c>
      <c r="K21" s="102"/>
      <c r="L21" s="47">
        <f t="shared" si="2"/>
        <v>9.5942047240441974E-2</v>
      </c>
      <c r="M21" s="47"/>
    </row>
    <row r="22" spans="1:13">
      <c r="A22" s="281"/>
      <c r="B22" s="28">
        <f t="shared" si="3"/>
        <v>2002</v>
      </c>
      <c r="C22" s="281"/>
      <c r="D22" s="398">
        <v>26219.998684868788</v>
      </c>
      <c r="E22" s="102"/>
      <c r="F22" s="47">
        <f t="shared" si="1"/>
        <v>-3.5143115619492238E-2</v>
      </c>
      <c r="G22" s="281"/>
      <c r="H22" s="399">
        <v>1.3582452718713238</v>
      </c>
      <c r="I22" s="281"/>
      <c r="J22" s="102">
        <f t="shared" si="0"/>
        <v>35613.18924219536</v>
      </c>
      <c r="K22" s="102"/>
      <c r="L22" s="47">
        <f t="shared" si="2"/>
        <v>-1.1716660817974289E-2</v>
      </c>
      <c r="M22" s="47"/>
    </row>
    <row r="23" spans="1:13">
      <c r="A23" s="281"/>
      <c r="B23" s="28">
        <f t="shared" si="3"/>
        <v>2003</v>
      </c>
      <c r="C23" s="281"/>
      <c r="D23" s="398">
        <v>25975.812188204909</v>
      </c>
      <c r="E23" s="102"/>
      <c r="F23" s="47">
        <f t="shared" si="1"/>
        <v>-9.3129866099037617E-3</v>
      </c>
      <c r="G23" s="281"/>
      <c r="H23" s="399">
        <v>1.35404258478277</v>
      </c>
      <c r="I23" s="281"/>
      <c r="J23" s="102">
        <f t="shared" si="0"/>
        <v>35172.355877148751</v>
      </c>
      <c r="K23" s="102"/>
      <c r="L23" s="47">
        <f t="shared" si="2"/>
        <v>-1.2378373698817668E-2</v>
      </c>
      <c r="M23" s="47"/>
    </row>
    <row r="24" spans="1:13">
      <c r="A24" s="281"/>
      <c r="B24" s="28">
        <f t="shared" si="3"/>
        <v>2004</v>
      </c>
      <c r="C24" s="281"/>
      <c r="D24" s="398">
        <v>21096.317074305731</v>
      </c>
      <c r="E24" s="102"/>
      <c r="F24" s="47">
        <f t="shared" si="1"/>
        <v>-0.18784764374431606</v>
      </c>
      <c r="G24" s="281"/>
      <c r="H24" s="399">
        <v>1.5995998066794748</v>
      </c>
      <c r="I24" s="281"/>
      <c r="J24" s="102">
        <f t="shared" si="0"/>
        <v>33745.664713708349</v>
      </c>
      <c r="K24" s="102"/>
      <c r="L24" s="47">
        <f t="shared" si="2"/>
        <v>-4.0562854772185242E-2</v>
      </c>
      <c r="M24" s="47"/>
    </row>
    <row r="25" spans="1:13">
      <c r="A25" s="281"/>
      <c r="B25" s="28">
        <f t="shared" si="3"/>
        <v>2005</v>
      </c>
      <c r="C25" s="281"/>
      <c r="D25" s="398">
        <v>19128.53590524113</v>
      </c>
      <c r="E25" s="102"/>
      <c r="F25" s="47">
        <f t="shared" si="1"/>
        <v>-9.3276052030013434E-2</v>
      </c>
      <c r="G25" s="281"/>
      <c r="H25" s="399">
        <v>1.8362661758726679</v>
      </c>
      <c r="I25" s="281"/>
      <c r="J25" s="102">
        <f t="shared" si="0"/>
        <v>35125.083476760148</v>
      </c>
      <c r="K25" s="102"/>
      <c r="L25" s="47">
        <f t="shared" si="2"/>
        <v>4.0876917813132962E-2</v>
      </c>
      <c r="M25" s="47"/>
    </row>
    <row r="26" spans="1:13">
      <c r="A26" s="281"/>
      <c r="B26" s="28">
        <f t="shared" si="3"/>
        <v>2006</v>
      </c>
      <c r="C26" s="281"/>
      <c r="D26" s="398">
        <v>20828.926424895511</v>
      </c>
      <c r="E26" s="102"/>
      <c r="F26" s="47">
        <f t="shared" si="1"/>
        <v>8.8892873353076718E-2</v>
      </c>
      <c r="G26" s="281"/>
      <c r="H26" s="399">
        <v>1.7014563836808656</v>
      </c>
      <c r="I26" s="281"/>
      <c r="J26" s="102">
        <f t="shared" si="0"/>
        <v>35439.50983085754</v>
      </c>
      <c r="K26" s="102"/>
      <c r="L26" s="47">
        <f t="shared" si="2"/>
        <v>8.9516187002209868E-3</v>
      </c>
      <c r="M26" s="47"/>
    </row>
    <row r="27" spans="1:13">
      <c r="A27" s="281"/>
      <c r="B27" s="28">
        <f t="shared" si="3"/>
        <v>2007</v>
      </c>
      <c r="C27" s="281"/>
      <c r="D27" s="398">
        <v>22585.614461874949</v>
      </c>
      <c r="E27" s="102"/>
      <c r="F27" s="47">
        <f t="shared" si="1"/>
        <v>8.4338866110726718E-2</v>
      </c>
      <c r="G27" s="281"/>
      <c r="H27" s="399">
        <v>1.6402172330670737</v>
      </c>
      <c r="I27" s="281"/>
      <c r="J27" s="102">
        <f t="shared" si="0"/>
        <v>37045.31405977621</v>
      </c>
      <c r="K27" s="102"/>
      <c r="L27" s="47">
        <f t="shared" si="2"/>
        <v>4.5311129769647129E-2</v>
      </c>
      <c r="M27" s="47"/>
    </row>
    <row r="28" spans="1:13">
      <c r="A28" s="281"/>
      <c r="B28" s="28">
        <f t="shared" si="3"/>
        <v>2008</v>
      </c>
      <c r="C28" s="281"/>
      <c r="D28" s="398">
        <v>24576.400703483643</v>
      </c>
      <c r="E28" s="102"/>
      <c r="F28" s="47">
        <f t="shared" si="1"/>
        <v>8.8143992937149696E-2</v>
      </c>
      <c r="G28" s="281"/>
      <c r="H28" s="399">
        <v>1.5495968115288654</v>
      </c>
      <c r="I28" s="281"/>
      <c r="J28" s="102">
        <f t="shared" si="0"/>
        <v>38083.512168974019</v>
      </c>
      <c r="K28" s="102"/>
      <c r="L28" s="47">
        <f t="shared" si="2"/>
        <v>2.8025085912959824E-2</v>
      </c>
      <c r="M28" s="47"/>
    </row>
    <row r="29" spans="1:13">
      <c r="A29" s="281"/>
      <c r="B29" s="28">
        <f t="shared" si="3"/>
        <v>2009</v>
      </c>
      <c r="C29" s="281"/>
      <c r="D29" s="398">
        <v>25763.630127298435</v>
      </c>
      <c r="E29" s="102"/>
      <c r="F29" s="47">
        <f t="shared" si="1"/>
        <v>4.8307701283797133E-2</v>
      </c>
      <c r="G29" s="281"/>
      <c r="H29" s="399">
        <v>1.540342434184286</v>
      </c>
      <c r="I29" s="281"/>
      <c r="J29" s="102">
        <f t="shared" si="0"/>
        <v>39684.812743706476</v>
      </c>
      <c r="K29" s="102"/>
      <c r="L29" s="47">
        <f t="shared" si="2"/>
        <v>4.2047082412661752E-2</v>
      </c>
      <c r="M29" s="47"/>
    </row>
    <row r="30" spans="1:13">
      <c r="A30" s="281"/>
      <c r="B30" s="28">
        <f t="shared" si="3"/>
        <v>2010</v>
      </c>
      <c r="C30" s="281"/>
      <c r="D30" s="398">
        <v>25052.155351823629</v>
      </c>
      <c r="E30" s="102"/>
      <c r="F30" s="47">
        <f t="shared" si="1"/>
        <v>-2.7615470799704833E-2</v>
      </c>
      <c r="G30" s="281"/>
      <c r="H30" s="399">
        <v>1.511532622401317</v>
      </c>
      <c r="I30" s="281"/>
      <c r="J30" s="102">
        <f t="shared" si="0"/>
        <v>37867.150075747159</v>
      </c>
      <c r="K30" s="102"/>
      <c r="L30" s="47">
        <f t="shared" si="2"/>
        <v>-4.5802475614492466E-2</v>
      </c>
      <c r="M30" s="47"/>
    </row>
    <row r="31" spans="1:13">
      <c r="A31" s="281"/>
      <c r="B31" s="28">
        <f t="shared" si="3"/>
        <v>2011</v>
      </c>
      <c r="C31" s="281"/>
      <c r="D31" s="398">
        <v>24519.421254130426</v>
      </c>
      <c r="E31" s="102"/>
      <c r="F31" s="47">
        <f t="shared" si="1"/>
        <v>-2.1265000564289704E-2</v>
      </c>
      <c r="G31" s="281"/>
      <c r="H31" s="399">
        <v>1.490663335701496</v>
      </c>
      <c r="I31" s="281"/>
      <c r="J31" s="102">
        <f t="shared" si="0"/>
        <v>36550.202276152217</v>
      </c>
      <c r="K31" s="102"/>
      <c r="L31" s="47">
        <f t="shared" si="2"/>
        <v>-3.4778107065374542E-2</v>
      </c>
      <c r="M31" s="47"/>
    </row>
    <row r="32" spans="1:13">
      <c r="A32" s="281"/>
      <c r="B32" s="28">
        <f t="shared" si="3"/>
        <v>2012</v>
      </c>
      <c r="C32" s="281"/>
      <c r="D32" s="398">
        <v>23977.785147251074</v>
      </c>
      <c r="E32" s="102"/>
      <c r="F32" s="47">
        <f t="shared" si="1"/>
        <v>-2.2090085294656392E-2</v>
      </c>
      <c r="G32" s="281"/>
      <c r="H32" s="399">
        <v>1.4721985921805278</v>
      </c>
      <c r="I32" s="281"/>
      <c r="J32" s="102">
        <f t="shared" si="0"/>
        <v>35300.061537390204</v>
      </c>
      <c r="K32" s="102"/>
      <c r="L32" s="47">
        <f t="shared" si="2"/>
        <v>-3.4203387694455745E-2</v>
      </c>
      <c r="M32" s="47"/>
    </row>
    <row r="33" spans="1:13">
      <c r="A33" s="281"/>
      <c r="B33" s="28">
        <f t="shared" si="3"/>
        <v>2013</v>
      </c>
      <c r="C33" s="281"/>
      <c r="D33" s="398">
        <v>23152.668876890777</v>
      </c>
      <c r="E33" s="102"/>
      <c r="F33" s="47">
        <f t="shared" si="1"/>
        <v>-3.4411696713984918E-2</v>
      </c>
      <c r="G33" s="281"/>
      <c r="H33" s="399">
        <v>1.4425622400923224</v>
      </c>
      <c r="I33" s="281"/>
      <c r="J33" s="102">
        <f t="shared" si="0"/>
        <v>33399.165879163353</v>
      </c>
      <c r="K33" s="102"/>
      <c r="L33" s="47">
        <f t="shared" si="2"/>
        <v>-5.3849641486131694E-2</v>
      </c>
      <c r="M33" s="47"/>
    </row>
    <row r="34" spans="1:13">
      <c r="A34" s="281"/>
      <c r="B34" s="28">
        <f t="shared" si="3"/>
        <v>2014</v>
      </c>
      <c r="C34" s="281"/>
      <c r="D34" s="398">
        <v>24049.691398330091</v>
      </c>
      <c r="E34" s="102"/>
      <c r="F34" s="47">
        <f t="shared" si="1"/>
        <v>3.8743806435838302E-2</v>
      </c>
      <c r="G34" s="281"/>
      <c r="H34" s="399">
        <v>1.3408615062835727</v>
      </c>
      <c r="I34" s="281"/>
      <c r="J34" s="102">
        <f t="shared" si="0"/>
        <v>32247.305434019967</v>
      </c>
      <c r="K34" s="102"/>
      <c r="L34" s="47">
        <f t="shared" si="2"/>
        <v>-3.4487700959681566E-2</v>
      </c>
      <c r="M34" s="47"/>
    </row>
    <row r="35" spans="1:13">
      <c r="A35" s="281"/>
      <c r="B35" s="28">
        <f t="shared" si="3"/>
        <v>2015</v>
      </c>
      <c r="C35" s="281"/>
      <c r="D35" s="398">
        <v>24275.667308947148</v>
      </c>
      <c r="E35" s="102"/>
      <c r="F35" s="47">
        <f>+D35/D34-1</f>
        <v>9.396208328592115E-3</v>
      </c>
      <c r="G35" s="281"/>
      <c r="H35" s="399">
        <v>1.3217951731692286</v>
      </c>
      <c r="I35" s="281"/>
      <c r="J35" s="102">
        <f>+D35*H35</f>
        <v>32087.459874428376</v>
      </c>
      <c r="K35" s="47"/>
      <c r="L35" s="47">
        <f>+J35/J34-1</f>
        <v>-4.9568656183892612E-3</v>
      </c>
      <c r="M35" s="47"/>
    </row>
    <row r="36" spans="1:13">
      <c r="A36" s="281"/>
      <c r="B36" s="28">
        <f t="shared" si="3"/>
        <v>2016</v>
      </c>
      <c r="C36" s="281"/>
      <c r="D36" s="398">
        <v>23770.926066331336</v>
      </c>
      <c r="E36" s="102"/>
      <c r="F36" s="47">
        <f>+D36/D35-1</f>
        <v>-2.0792064588468828E-2</v>
      </c>
      <c r="G36" s="281"/>
      <c r="H36" s="399">
        <v>1.3051840951897486</v>
      </c>
      <c r="I36" s="281"/>
      <c r="J36" s="102">
        <f>+D36*H36</f>
        <v>31025.434629707077</v>
      </c>
      <c r="K36" s="47"/>
      <c r="L36" s="47">
        <f>+J36/J35-1</f>
        <v>-3.3097828524833228E-2</v>
      </c>
      <c r="M36" s="47"/>
    </row>
    <row r="37" spans="1:13">
      <c r="A37" s="281"/>
      <c r="B37" s="28">
        <f t="shared" si="3"/>
        <v>2017</v>
      </c>
      <c r="C37" s="281"/>
      <c r="D37" s="398">
        <v>23970.741566968667</v>
      </c>
      <c r="E37" s="102"/>
      <c r="F37" s="47">
        <f>+D37/D36-1</f>
        <v>8.4058778391620237E-3</v>
      </c>
      <c r="G37" s="281"/>
      <c r="H37" s="399">
        <v>1.2711139203373778</v>
      </c>
      <c r="I37" s="281"/>
      <c r="J37" s="102">
        <f>+D37*H37</f>
        <v>30469.543286583681</v>
      </c>
      <c r="K37" s="47"/>
      <c r="L37" s="47">
        <f>+J37/J36-1</f>
        <v>-1.7917278186688979E-2</v>
      </c>
      <c r="M37" s="47"/>
    </row>
    <row r="38" spans="1:13">
      <c r="A38" s="281"/>
      <c r="B38" s="28">
        <f t="shared" si="3"/>
        <v>2018</v>
      </c>
      <c r="C38" s="281"/>
      <c r="D38" s="398">
        <v>24779.478021707782</v>
      </c>
      <c r="E38" s="102"/>
      <c r="F38" s="47">
        <f t="shared" ref="F38:F43" si="4">+D38/D37-1</f>
        <v>3.3738482911748635E-2</v>
      </c>
      <c r="G38" s="281"/>
      <c r="H38" s="399">
        <v>1.2383028571909604</v>
      </c>
      <c r="I38" s="281"/>
      <c r="J38" s="102">
        <f>+D38*H38</f>
        <v>30684.498433981356</v>
      </c>
      <c r="K38" s="47"/>
      <c r="L38" s="47">
        <f>+J38/J37-1</f>
        <v>7.0547544929011607E-3</v>
      </c>
      <c r="M38" s="47"/>
    </row>
    <row r="39" spans="1:13">
      <c r="A39" s="281"/>
      <c r="B39" s="28">
        <f t="shared" si="3"/>
        <v>2019</v>
      </c>
      <c r="C39" s="281"/>
      <c r="D39" s="398">
        <v>26364.754826351513</v>
      </c>
      <c r="E39" s="102"/>
      <c r="F39" s="47">
        <f t="shared" si="4"/>
        <v>6.397539138051922E-2</v>
      </c>
      <c r="G39" s="281"/>
      <c r="H39" s="399">
        <v>1.2048222914970081</v>
      </c>
      <c r="I39" s="281"/>
      <c r="J39" s="102">
        <f t="shared" ref="J39:J43" si="5">+D39*H39</f>
        <v>31764.844324641635</v>
      </c>
      <c r="K39" s="47"/>
      <c r="L39" s="47">
        <f t="shared" ref="L39:L43" si="6">+J39/J38-1</f>
        <v>3.520819781312956E-2</v>
      </c>
      <c r="M39" s="47"/>
    </row>
    <row r="40" spans="1:13">
      <c r="A40" s="281"/>
      <c r="B40" s="28">
        <f t="shared" si="3"/>
        <v>2020</v>
      </c>
      <c r="C40" s="281"/>
      <c r="D40" s="398">
        <v>27725.557407369048</v>
      </c>
      <c r="E40" s="102"/>
      <c r="F40" s="47">
        <f t="shared" si="4"/>
        <v>5.1614459909842036E-2</v>
      </c>
      <c r="G40" s="281"/>
      <c r="H40" s="399">
        <v>1.1700635869401255</v>
      </c>
      <c r="I40" s="281"/>
      <c r="J40" s="102">
        <f t="shared" si="5"/>
        <v>32440.665149980592</v>
      </c>
      <c r="K40" s="47"/>
      <c r="L40" s="47">
        <f t="shared" si="6"/>
        <v>2.127574807016086E-2</v>
      </c>
      <c r="M40" s="47"/>
    </row>
    <row r="41" spans="1:13">
      <c r="A41" s="318"/>
      <c r="B41" s="28">
        <f t="shared" si="3"/>
        <v>2021</v>
      </c>
      <c r="C41" s="318"/>
      <c r="D41" s="398">
        <v>27931.75538933626</v>
      </c>
      <c r="E41" s="102"/>
      <c r="F41" s="47">
        <f t="shared" si="4"/>
        <v>7.4371086192268621E-3</v>
      </c>
      <c r="G41" s="318"/>
      <c r="H41" s="399">
        <v>1.1270497338478236</v>
      </c>
      <c r="I41" s="318"/>
      <c r="J41" s="102">
        <f t="shared" si="5"/>
        <v>31480.477477453944</v>
      </c>
      <c r="K41" s="47"/>
      <c r="L41" s="47">
        <f t="shared" si="6"/>
        <v>-2.9598273281003395E-2</v>
      </c>
      <c r="M41" s="47"/>
    </row>
    <row r="42" spans="1:13">
      <c r="A42" s="323"/>
      <c r="B42" s="28">
        <f t="shared" si="3"/>
        <v>2022</v>
      </c>
      <c r="C42" s="323"/>
      <c r="D42" s="398">
        <v>29435.339663913117</v>
      </c>
      <c r="E42" s="102"/>
      <c r="F42" s="47">
        <f t="shared" si="4"/>
        <v>5.3830640202115365E-2</v>
      </c>
      <c r="G42" s="323"/>
      <c r="H42" s="399">
        <v>1.0904558880208535</v>
      </c>
      <c r="I42" s="323"/>
      <c r="J42" s="102">
        <f t="shared" si="5"/>
        <v>32097.939452407827</v>
      </c>
      <c r="K42" s="47"/>
      <c r="L42" s="47">
        <f t="shared" si="6"/>
        <v>1.9614123559469565E-2</v>
      </c>
      <c r="M42" s="47"/>
    </row>
    <row r="43" spans="1:13">
      <c r="A43" s="281"/>
      <c r="B43" s="28">
        <f t="shared" si="3"/>
        <v>2023</v>
      </c>
      <c r="C43" s="281"/>
      <c r="D43" s="398">
        <v>29716.346499882242</v>
      </c>
      <c r="E43" s="102"/>
      <c r="F43" s="47">
        <f t="shared" si="4"/>
        <v>9.5465803750731659E-3</v>
      </c>
      <c r="G43" s="281"/>
      <c r="H43" s="399">
        <v>1.0640732557185673</v>
      </c>
      <c r="I43" s="281"/>
      <c r="J43" s="102">
        <f t="shared" si="5"/>
        <v>31620.369568190748</v>
      </c>
      <c r="K43" s="47"/>
      <c r="L43" s="47">
        <f t="shared" si="6"/>
        <v>-1.4878521561335067E-2</v>
      </c>
      <c r="M43" s="47"/>
    </row>
    <row r="44" spans="1:13">
      <c r="A44" s="281"/>
      <c r="B44" s="281"/>
      <c r="C44" s="281"/>
      <c r="D44" s="281"/>
      <c r="E44" s="281"/>
      <c r="F44" s="281"/>
      <c r="G44" s="281"/>
      <c r="H44" s="281"/>
      <c r="I44" s="281"/>
      <c r="J44" s="281"/>
      <c r="K44" s="281"/>
      <c r="L44" s="281"/>
      <c r="M44" s="281"/>
    </row>
    <row r="45" spans="1:13">
      <c r="A45" s="281"/>
      <c r="B45" s="224" t="s">
        <v>43</v>
      </c>
      <c r="C45" s="54"/>
      <c r="D45" s="281"/>
      <c r="E45" s="281"/>
      <c r="F45" s="281"/>
      <c r="G45" s="281"/>
      <c r="H45" s="281"/>
      <c r="I45" s="167" t="s">
        <v>480</v>
      </c>
      <c r="J45" s="281"/>
      <c r="K45" s="47"/>
      <c r="L45" s="287">
        <f>LOGEST($J$10:$J$43)-1</f>
        <v>6.9534490952365413E-3</v>
      </c>
      <c r="M45" s="47"/>
    </row>
    <row r="46" spans="1:13">
      <c r="A46" s="281"/>
      <c r="B46" s="224" t="s">
        <v>121</v>
      </c>
      <c r="C46" s="54"/>
      <c r="D46" s="281"/>
      <c r="E46" s="281"/>
      <c r="F46" s="281"/>
      <c r="G46" s="281"/>
      <c r="H46" s="281"/>
      <c r="I46" s="167" t="s">
        <v>481</v>
      </c>
      <c r="J46" s="281"/>
      <c r="K46" s="47"/>
      <c r="L46" s="287">
        <f>LOGEST($J$25:$J$43)-1</f>
        <v>-1.1578737468548983E-2</v>
      </c>
      <c r="M46" s="47"/>
    </row>
    <row r="47" spans="1:13">
      <c r="A47" s="281"/>
      <c r="B47" s="224" t="s">
        <v>195</v>
      </c>
      <c r="C47" s="54"/>
      <c r="D47" s="281"/>
      <c r="E47" s="281"/>
      <c r="F47" s="281"/>
      <c r="G47" s="281"/>
      <c r="H47" s="281"/>
      <c r="I47" s="167" t="s">
        <v>482</v>
      </c>
      <c r="J47" s="281"/>
      <c r="K47" s="47"/>
      <c r="L47" s="287">
        <f>LOGEST($J$39:$J$43)-1</f>
        <v>-1.9718698232632503E-3</v>
      </c>
      <c r="M47" s="47"/>
    </row>
    <row r="48" spans="1:13">
      <c r="A48" s="281"/>
      <c r="B48" s="224"/>
      <c r="C48" s="281"/>
      <c r="D48" s="281"/>
      <c r="E48" s="281"/>
      <c r="F48" s="281"/>
      <c r="G48" s="281"/>
      <c r="H48" s="281"/>
      <c r="I48" s="281"/>
      <c r="J48" s="281"/>
      <c r="K48" s="47"/>
      <c r="L48" s="47"/>
      <c r="M48" s="47"/>
    </row>
    <row r="49" spans="1:13">
      <c r="A49" s="281"/>
      <c r="B49" s="224"/>
      <c r="C49" s="281"/>
      <c r="D49" s="281"/>
      <c r="E49" s="281"/>
      <c r="F49" s="281"/>
      <c r="G49" s="281"/>
      <c r="H49" s="281"/>
      <c r="I49" s="167" t="s">
        <v>317</v>
      </c>
      <c r="J49" s="47"/>
      <c r="K49" s="47"/>
      <c r="L49" s="122">
        <v>0.01</v>
      </c>
      <c r="M49" s="47"/>
    </row>
    <row r="50" spans="1:13">
      <c r="A50" s="281"/>
      <c r="B50" s="224"/>
      <c r="C50" s="281"/>
      <c r="D50" s="281"/>
      <c r="E50" s="281"/>
      <c r="F50" s="281"/>
      <c r="G50" s="281"/>
      <c r="H50" s="281"/>
      <c r="I50" s="281"/>
      <c r="J50" s="47"/>
      <c r="K50" s="47"/>
      <c r="L50" s="47"/>
      <c r="M50" s="47"/>
    </row>
    <row r="51" spans="1:13">
      <c r="A51" s="281"/>
      <c r="B51" s="224"/>
      <c r="C51" s="281"/>
      <c r="D51" s="281"/>
      <c r="E51" s="281"/>
      <c r="F51" s="281"/>
      <c r="G51" s="281"/>
      <c r="H51" s="281"/>
      <c r="I51" s="281"/>
      <c r="J51" s="47"/>
      <c r="K51" s="47"/>
      <c r="L51" s="47"/>
      <c r="M51" s="47"/>
    </row>
    <row r="52" spans="1:13">
      <c r="A52" s="323"/>
      <c r="B52" s="100" t="s">
        <v>399</v>
      </c>
      <c r="C52" s="323"/>
      <c r="D52" s="323"/>
      <c r="E52" s="323"/>
      <c r="F52" s="323"/>
      <c r="G52" s="323"/>
      <c r="H52" s="323"/>
      <c r="I52" s="323"/>
      <c r="J52" s="47"/>
      <c r="K52" s="47"/>
      <c r="L52" s="47"/>
      <c r="M52" s="47"/>
    </row>
    <row r="53" spans="1:13">
      <c r="A53" s="323"/>
      <c r="B53" s="100" t="s">
        <v>400</v>
      </c>
      <c r="C53" s="323"/>
      <c r="D53" s="323"/>
      <c r="E53" s="323"/>
      <c r="F53" s="323"/>
      <c r="G53" s="323"/>
      <c r="H53" s="323"/>
      <c r="I53" s="323"/>
      <c r="J53" s="47"/>
      <c r="K53" s="47"/>
      <c r="L53" s="47"/>
      <c r="M53" s="47"/>
    </row>
    <row r="54" spans="1:13">
      <c r="A54" s="281"/>
      <c r="B54" s="100" t="s">
        <v>398</v>
      </c>
      <c r="C54" s="281"/>
      <c r="D54" s="281"/>
      <c r="E54" s="281"/>
      <c r="F54" s="281"/>
      <c r="G54" s="281"/>
      <c r="H54" s="281"/>
      <c r="I54" s="281"/>
      <c r="J54" s="47"/>
      <c r="K54" s="47"/>
      <c r="L54" s="47"/>
      <c r="M54" s="47"/>
    </row>
    <row r="55" spans="1:13">
      <c r="A55" s="281"/>
      <c r="B55" s="281"/>
      <c r="C55" s="281"/>
      <c r="D55" s="281"/>
      <c r="E55" s="281"/>
      <c r="F55" s="281"/>
      <c r="G55" s="281"/>
      <c r="H55" s="281"/>
      <c r="I55" s="281"/>
      <c r="J55" s="47"/>
      <c r="K55" s="47"/>
      <c r="L55" s="47"/>
      <c r="M55" s="47"/>
    </row>
    <row r="56" spans="1:13">
      <c r="A56" s="281"/>
      <c r="B56" s="281" t="s">
        <v>371</v>
      </c>
      <c r="C56" s="281"/>
      <c r="D56" s="281"/>
      <c r="E56" s="281"/>
      <c r="F56" s="281"/>
      <c r="G56" s="281"/>
      <c r="H56" s="281"/>
      <c r="I56" s="281"/>
      <c r="J56" s="47"/>
      <c r="K56" s="47"/>
      <c r="L56" s="47"/>
      <c r="M56" s="47"/>
    </row>
  </sheetData>
  <printOptions horizontalCentered="1"/>
  <pageMargins left="0.5" right="0.5" top="0.75" bottom="0.75" header="0.33" footer="0.33"/>
  <pageSetup scale="99" orientation="portrait" blackAndWhite="1" r:id="rId1"/>
  <headerFooter scaleWithDoc="0">
    <oddHeader>&amp;R&amp;"Arial,Regular"&amp;10Exhibit 6.2</oddHeader>
  </headerFooter>
  <ignoredErrors>
    <ignoredError sqref="D4:L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M53"/>
  <sheetViews>
    <sheetView zoomScaleNormal="100" zoomScaleSheetLayoutView="100" workbookViewId="0"/>
  </sheetViews>
  <sheetFormatPr defaultColWidth="9.140625" defaultRowHeight="12.75"/>
  <cols>
    <col min="1" max="1" width="4" style="79" customWidth="1"/>
    <col min="2" max="2" width="9.140625" style="79"/>
    <col min="3" max="3" width="5" style="79" customWidth="1"/>
    <col min="4" max="4" width="9.140625" style="79"/>
    <col min="5" max="5" width="5" style="79" customWidth="1"/>
    <col min="6" max="6" width="9.140625" style="79"/>
    <col min="7" max="7" width="5" style="79" customWidth="1"/>
    <col min="8" max="8" width="9.140625" style="79"/>
    <col min="9" max="9" width="5" style="79" customWidth="1"/>
    <col min="10" max="10" width="9.140625" style="79"/>
    <col min="11" max="11" width="5" style="79" customWidth="1"/>
    <col min="12" max="12" width="9.140625" style="79"/>
    <col min="13" max="13" width="5" style="79" customWidth="1"/>
    <col min="14" max="16384" width="9.140625" style="79"/>
  </cols>
  <sheetData>
    <row r="1" spans="1:13">
      <c r="A1" s="99" t="s">
        <v>187</v>
      </c>
      <c r="B1" s="99"/>
      <c r="C1" s="99"/>
      <c r="D1" s="99"/>
      <c r="E1" s="99"/>
      <c r="F1" s="99"/>
      <c r="G1" s="99"/>
      <c r="H1" s="99"/>
      <c r="I1" s="99"/>
      <c r="J1" s="99"/>
      <c r="K1" s="99"/>
      <c r="L1" s="99"/>
      <c r="M1" s="99"/>
    </row>
    <row r="2" spans="1:13">
      <c r="A2" s="99" t="s">
        <v>492</v>
      </c>
      <c r="B2" s="99"/>
      <c r="C2" s="99"/>
      <c r="D2" s="99"/>
      <c r="E2" s="99"/>
      <c r="F2" s="99"/>
      <c r="G2" s="99"/>
      <c r="H2" s="99"/>
      <c r="I2" s="99"/>
      <c r="J2" s="99"/>
      <c r="K2" s="99"/>
      <c r="L2" s="99"/>
      <c r="M2" s="99"/>
    </row>
    <row r="3" spans="1:13">
      <c r="A3" s="281"/>
      <c r="B3" s="281"/>
      <c r="C3" s="281"/>
      <c r="D3" s="281"/>
      <c r="E3" s="281"/>
      <c r="F3" s="281"/>
      <c r="G3" s="281"/>
      <c r="H3" s="281"/>
      <c r="I3" s="281"/>
      <c r="J3" s="281"/>
      <c r="K3" s="281"/>
      <c r="L3" s="281"/>
      <c r="M3" s="281"/>
    </row>
    <row r="4" spans="1:13">
      <c r="A4" s="281"/>
      <c r="B4" s="281"/>
      <c r="C4" s="281"/>
      <c r="D4" s="29" t="s">
        <v>38</v>
      </c>
      <c r="E4" s="29"/>
      <c r="F4" s="29" t="s">
        <v>39</v>
      </c>
      <c r="G4" s="281"/>
      <c r="H4" s="29" t="s">
        <v>40</v>
      </c>
      <c r="I4" s="281"/>
      <c r="J4" s="29" t="s">
        <v>41</v>
      </c>
      <c r="K4" s="29"/>
      <c r="L4" s="29" t="s">
        <v>42</v>
      </c>
      <c r="M4" s="281"/>
    </row>
    <row r="5" spans="1:13">
      <c r="A5" s="281"/>
      <c r="B5" s="281"/>
      <c r="C5" s="281"/>
      <c r="D5" s="28" t="s">
        <v>182</v>
      </c>
      <c r="E5" s="28"/>
      <c r="F5" s="28"/>
      <c r="G5" s="167"/>
      <c r="H5" s="28" t="s">
        <v>5</v>
      </c>
      <c r="I5" s="167"/>
      <c r="J5" s="28" t="s">
        <v>47</v>
      </c>
      <c r="K5" s="28"/>
      <c r="L5" s="28"/>
      <c r="M5" s="28"/>
    </row>
    <row r="6" spans="1:13">
      <c r="A6" s="281"/>
      <c r="B6" s="28" t="s">
        <v>183</v>
      </c>
      <c r="C6" s="281"/>
      <c r="D6" s="28" t="s">
        <v>47</v>
      </c>
      <c r="E6" s="28"/>
      <c r="F6" s="28" t="s">
        <v>55</v>
      </c>
      <c r="G6" s="167"/>
      <c r="H6" s="28" t="s">
        <v>129</v>
      </c>
      <c r="I6" s="167"/>
      <c r="J6" s="28" t="s">
        <v>197</v>
      </c>
      <c r="K6" s="28"/>
      <c r="L6" s="28" t="s">
        <v>55</v>
      </c>
      <c r="M6" s="28"/>
    </row>
    <row r="7" spans="1:13">
      <c r="A7" s="281"/>
      <c r="B7" s="30" t="s">
        <v>8</v>
      </c>
      <c r="C7" s="280"/>
      <c r="D7" s="30" t="s">
        <v>188</v>
      </c>
      <c r="E7" s="30"/>
      <c r="F7" s="30" t="s">
        <v>185</v>
      </c>
      <c r="G7" s="66"/>
      <c r="H7" s="30" t="s">
        <v>189</v>
      </c>
      <c r="I7" s="66"/>
      <c r="J7" s="30" t="s">
        <v>184</v>
      </c>
      <c r="K7" s="30"/>
      <c r="L7" s="30" t="s">
        <v>185</v>
      </c>
      <c r="M7" s="30"/>
    </row>
    <row r="8" spans="1:13">
      <c r="A8" s="281"/>
      <c r="B8" s="28"/>
      <c r="C8" s="281"/>
      <c r="D8" s="102"/>
      <c r="E8" s="102"/>
      <c r="F8" s="102"/>
      <c r="G8" s="281"/>
      <c r="H8" s="40"/>
      <c r="I8" s="281"/>
      <c r="J8" s="222" t="s">
        <v>186</v>
      </c>
      <c r="K8" s="281"/>
      <c r="L8" s="28"/>
      <c r="M8" s="281"/>
    </row>
    <row r="9" spans="1:13">
      <c r="A9" s="281"/>
      <c r="B9" s="28"/>
      <c r="C9" s="281"/>
      <c r="D9" s="102"/>
      <c r="E9" s="102"/>
      <c r="F9" s="102"/>
      <c r="G9" s="281"/>
      <c r="H9" s="40"/>
      <c r="I9" s="281"/>
      <c r="J9" s="281"/>
      <c r="K9" s="281"/>
      <c r="L9" s="28"/>
      <c r="M9" s="281"/>
    </row>
    <row r="10" spans="1:13">
      <c r="A10" s="281"/>
      <c r="B10" s="28">
        <f>+'Exhibit 6.2'!B10</f>
        <v>1990</v>
      </c>
      <c r="C10" s="281"/>
      <c r="D10" s="398">
        <v>8857.109819248788</v>
      </c>
      <c r="E10" s="102"/>
      <c r="F10" s="223" t="s">
        <v>29</v>
      </c>
      <c r="G10" s="281"/>
      <c r="H10" s="399">
        <v>0.97019489877853204</v>
      </c>
      <c r="I10" s="281"/>
      <c r="J10" s="102">
        <f t="shared" ref="J10:J35" si="0">+ROUND(H10*D10,0)</f>
        <v>8593</v>
      </c>
      <c r="K10" s="223"/>
      <c r="L10" s="223" t="s">
        <v>29</v>
      </c>
      <c r="M10" s="223"/>
    </row>
    <row r="11" spans="1:13">
      <c r="A11" s="281"/>
      <c r="B11" s="28">
        <f>+'Exhibit 6.2'!B11</f>
        <v>1991</v>
      </c>
      <c r="C11" s="281"/>
      <c r="D11" s="398">
        <v>9523.2404199814609</v>
      </c>
      <c r="E11" s="102"/>
      <c r="F11" s="47">
        <f t="shared" ref="F11:F28" si="1">+D11/D10-1</f>
        <v>7.5208574165468667E-2</v>
      </c>
      <c r="G11" s="281"/>
      <c r="H11" s="399">
        <v>0.95170890500766314</v>
      </c>
      <c r="I11" s="281"/>
      <c r="J11" s="102">
        <f t="shared" si="0"/>
        <v>9063</v>
      </c>
      <c r="K11" s="47"/>
      <c r="L11" s="47">
        <f t="shared" ref="L11:L30" si="2">+J11/J10-1</f>
        <v>5.4695682532293732E-2</v>
      </c>
      <c r="M11" s="47"/>
    </row>
    <row r="12" spans="1:13">
      <c r="A12" s="281"/>
      <c r="B12" s="28">
        <f>+'Exhibit 6.2'!B12</f>
        <v>1992</v>
      </c>
      <c r="C12" s="281"/>
      <c r="D12" s="398">
        <v>9573.5168416157758</v>
      </c>
      <c r="E12" s="102"/>
      <c r="F12" s="47">
        <f t="shared" si="1"/>
        <v>5.2793397433110734E-3</v>
      </c>
      <c r="G12" s="281"/>
      <c r="H12" s="399">
        <v>0.91939226682863651</v>
      </c>
      <c r="I12" s="281"/>
      <c r="J12" s="102">
        <f t="shared" si="0"/>
        <v>8802</v>
      </c>
      <c r="K12" s="47"/>
      <c r="L12" s="47">
        <f t="shared" si="2"/>
        <v>-2.8798411122144985E-2</v>
      </c>
      <c r="M12" s="47"/>
    </row>
    <row r="13" spans="1:13">
      <c r="A13" s="281"/>
      <c r="B13" s="28">
        <f>+'Exhibit 6.2'!B13</f>
        <v>1993</v>
      </c>
      <c r="C13" s="281"/>
      <c r="D13" s="398">
        <v>10438.549038809733</v>
      </c>
      <c r="E13" s="102"/>
      <c r="F13" s="47">
        <f t="shared" si="1"/>
        <v>9.03567843985702E-2</v>
      </c>
      <c r="G13" s="281"/>
      <c r="H13" s="399">
        <v>0.90153201605850175</v>
      </c>
      <c r="I13" s="281"/>
      <c r="J13" s="102">
        <f t="shared" si="0"/>
        <v>9411</v>
      </c>
      <c r="K13" s="47"/>
      <c r="L13" s="47">
        <f t="shared" si="2"/>
        <v>6.9188820722563049E-2</v>
      </c>
      <c r="M13" s="47"/>
    </row>
    <row r="14" spans="1:13">
      <c r="A14" s="281"/>
      <c r="B14" s="28">
        <f>+'Exhibit 6.2'!B14</f>
        <v>1994</v>
      </c>
      <c r="C14" s="281"/>
      <c r="D14" s="398">
        <v>11497.71422944631</v>
      </c>
      <c r="E14" s="102"/>
      <c r="F14" s="47">
        <f t="shared" si="1"/>
        <v>0.10146670640705735</v>
      </c>
      <c r="G14" s="281"/>
      <c r="H14" s="399">
        <v>0.9473874640956601</v>
      </c>
      <c r="I14" s="281"/>
      <c r="J14" s="102">
        <f t="shared" si="0"/>
        <v>10893</v>
      </c>
      <c r="K14" s="47"/>
      <c r="L14" s="47">
        <f t="shared" si="2"/>
        <v>0.15747529486770806</v>
      </c>
      <c r="M14" s="47"/>
    </row>
    <row r="15" spans="1:13">
      <c r="A15" s="281"/>
      <c r="B15" s="28">
        <f>+'Exhibit 6.2'!B15</f>
        <v>1995</v>
      </c>
      <c r="C15" s="281"/>
      <c r="D15" s="398">
        <v>13265.721968761391</v>
      </c>
      <c r="E15" s="102"/>
      <c r="F15" s="47">
        <f t="shared" si="1"/>
        <v>0.15377036722543602</v>
      </c>
      <c r="G15" s="281"/>
      <c r="H15" s="399">
        <v>0.93893703081829549</v>
      </c>
      <c r="I15" s="281"/>
      <c r="J15" s="102">
        <f t="shared" si="0"/>
        <v>12456</v>
      </c>
      <c r="K15" s="47"/>
      <c r="L15" s="47">
        <f t="shared" si="2"/>
        <v>0.14348664279812717</v>
      </c>
      <c r="M15" s="47"/>
    </row>
    <row r="16" spans="1:13">
      <c r="A16" s="281"/>
      <c r="B16" s="28">
        <f>+'Exhibit 6.2'!B16</f>
        <v>1996</v>
      </c>
      <c r="C16" s="281"/>
      <c r="D16" s="398">
        <v>14403.217008584894</v>
      </c>
      <c r="E16" s="102"/>
      <c r="F16" s="47">
        <f t="shared" si="1"/>
        <v>8.5746938048461896E-2</v>
      </c>
      <c r="G16" s="281"/>
      <c r="H16" s="399">
        <v>0.9296406245725698</v>
      </c>
      <c r="I16" s="281"/>
      <c r="J16" s="102">
        <f t="shared" si="0"/>
        <v>13390</v>
      </c>
      <c r="K16" s="47"/>
      <c r="L16" s="47">
        <f t="shared" si="2"/>
        <v>7.4983943481053306E-2</v>
      </c>
      <c r="M16" s="47"/>
    </row>
    <row r="17" spans="1:13">
      <c r="A17" s="281"/>
      <c r="B17" s="28">
        <f>+'Exhibit 6.2'!B17</f>
        <v>1997</v>
      </c>
      <c r="C17" s="281"/>
      <c r="D17" s="398">
        <v>16922.115669825151</v>
      </c>
      <c r="E17" s="102"/>
      <c r="F17" s="47">
        <f t="shared" si="1"/>
        <v>0.17488444836586803</v>
      </c>
      <c r="G17" s="281"/>
      <c r="H17" s="399">
        <v>0.92317837594098306</v>
      </c>
      <c r="I17" s="281"/>
      <c r="J17" s="102">
        <f t="shared" si="0"/>
        <v>15622</v>
      </c>
      <c r="K17" s="47"/>
      <c r="L17" s="47">
        <f t="shared" si="2"/>
        <v>0.1666915608663182</v>
      </c>
      <c r="M17" s="47"/>
    </row>
    <row r="18" spans="1:13">
      <c r="A18" s="281"/>
      <c r="B18" s="28">
        <f>+'Exhibit 6.2'!B18</f>
        <v>1998</v>
      </c>
      <c r="C18" s="281"/>
      <c r="D18" s="398">
        <v>20712.408118499348</v>
      </c>
      <c r="E18" s="102"/>
      <c r="F18" s="47">
        <f t="shared" si="1"/>
        <v>0.22398454913252341</v>
      </c>
      <c r="G18" s="281"/>
      <c r="H18" s="399">
        <v>0.81336728546493353</v>
      </c>
      <c r="I18" s="281"/>
      <c r="J18" s="102">
        <f t="shared" si="0"/>
        <v>16847</v>
      </c>
      <c r="K18" s="47"/>
      <c r="L18" s="47">
        <f t="shared" si="2"/>
        <v>7.8415055690692625E-2</v>
      </c>
      <c r="M18" s="47"/>
    </row>
    <row r="19" spans="1:13">
      <c r="A19" s="281"/>
      <c r="B19" s="28">
        <f>+'Exhibit 6.2'!B19</f>
        <v>1999</v>
      </c>
      <c r="C19" s="281"/>
      <c r="D19" s="398">
        <v>23528.666924899513</v>
      </c>
      <c r="E19" s="102"/>
      <c r="F19" s="47">
        <f t="shared" si="1"/>
        <v>0.13596964632445685</v>
      </c>
      <c r="G19" s="281"/>
      <c r="H19" s="399">
        <v>0.70473273444953743</v>
      </c>
      <c r="I19" s="281"/>
      <c r="J19" s="102">
        <f t="shared" si="0"/>
        <v>16581</v>
      </c>
      <c r="K19" s="47"/>
      <c r="L19" s="47">
        <f t="shared" si="2"/>
        <v>-1.5789161275004404E-2</v>
      </c>
      <c r="M19" s="47"/>
    </row>
    <row r="20" spans="1:13">
      <c r="A20" s="281"/>
      <c r="B20" s="28">
        <f>+'Exhibit 6.2'!B20</f>
        <v>2000</v>
      </c>
      <c r="C20" s="281"/>
      <c r="D20" s="398">
        <v>26432.210495571009</v>
      </c>
      <c r="E20" s="102"/>
      <c r="F20" s="47">
        <f t="shared" si="1"/>
        <v>0.12340450820861348</v>
      </c>
      <c r="G20" s="281"/>
      <c r="H20" s="399">
        <v>0.64761919742833274</v>
      </c>
      <c r="I20" s="281"/>
      <c r="J20" s="102">
        <f t="shared" si="0"/>
        <v>17118</v>
      </c>
      <c r="K20" s="47"/>
      <c r="L20" s="47">
        <f t="shared" si="2"/>
        <v>3.2386466437488659E-2</v>
      </c>
      <c r="M20" s="47"/>
    </row>
    <row r="21" spans="1:13">
      <c r="A21" s="281"/>
      <c r="B21" s="28">
        <f>+'Exhibit 6.2'!B21</f>
        <v>2001</v>
      </c>
      <c r="C21" s="281"/>
      <c r="D21" s="398">
        <v>31179.585150956347</v>
      </c>
      <c r="E21" s="102"/>
      <c r="F21" s="47">
        <f t="shared" si="1"/>
        <v>0.17960566166726055</v>
      </c>
      <c r="G21" s="281"/>
      <c r="H21" s="399">
        <v>0.59040106829553896</v>
      </c>
      <c r="I21" s="281"/>
      <c r="J21" s="102">
        <f t="shared" si="0"/>
        <v>18408</v>
      </c>
      <c r="K21" s="47"/>
      <c r="L21" s="47">
        <f t="shared" si="2"/>
        <v>7.5359270942867207E-2</v>
      </c>
      <c r="M21" s="47"/>
    </row>
    <row r="22" spans="1:13">
      <c r="A22" s="281"/>
      <c r="B22" s="28">
        <f>+'Exhibit 6.2'!B22</f>
        <v>2002</v>
      </c>
      <c r="C22" s="281"/>
      <c r="D22" s="398">
        <v>31240.430982909445</v>
      </c>
      <c r="E22" s="102"/>
      <c r="F22" s="47">
        <f t="shared" si="1"/>
        <v>1.95146380744049E-3</v>
      </c>
      <c r="G22" s="281"/>
      <c r="H22" s="399">
        <v>0.61316162792408091</v>
      </c>
      <c r="I22" s="281"/>
      <c r="J22" s="102">
        <f t="shared" si="0"/>
        <v>19155</v>
      </c>
      <c r="K22" s="47"/>
      <c r="L22" s="47">
        <f t="shared" si="2"/>
        <v>4.058018252933504E-2</v>
      </c>
      <c r="M22" s="47"/>
    </row>
    <row r="23" spans="1:13">
      <c r="A23" s="281"/>
      <c r="B23" s="28">
        <f>+'Exhibit 6.2'!B23</f>
        <v>2003</v>
      </c>
      <c r="C23" s="281"/>
      <c r="D23" s="398">
        <v>29846.472284983894</v>
      </c>
      <c r="E23" s="102"/>
      <c r="F23" s="47">
        <f t="shared" si="1"/>
        <v>-4.4620341463539215E-2</v>
      </c>
      <c r="G23" s="281"/>
      <c r="H23" s="399">
        <v>0.64329349524117763</v>
      </c>
      <c r="I23" s="281"/>
      <c r="J23" s="102">
        <f t="shared" si="0"/>
        <v>19200</v>
      </c>
      <c r="K23" s="47"/>
      <c r="L23" s="47">
        <f t="shared" si="2"/>
        <v>2.3492560689115649E-3</v>
      </c>
      <c r="M23" s="47"/>
    </row>
    <row r="24" spans="1:13">
      <c r="A24" s="281"/>
      <c r="B24" s="28">
        <f>+'Exhibit 6.2'!B24</f>
        <v>2004</v>
      </c>
      <c r="C24" s="281"/>
      <c r="D24" s="398">
        <v>27316.064492715432</v>
      </c>
      <c r="E24" s="102"/>
      <c r="F24" s="47">
        <f t="shared" si="1"/>
        <v>-8.4780799824759834E-2</v>
      </c>
      <c r="G24" s="281"/>
      <c r="H24" s="399">
        <v>0.85091732174758938</v>
      </c>
      <c r="I24" s="281"/>
      <c r="J24" s="102">
        <f t="shared" si="0"/>
        <v>23244</v>
      </c>
      <c r="K24" s="47"/>
      <c r="L24" s="47">
        <f t="shared" si="2"/>
        <v>0.21062500000000006</v>
      </c>
      <c r="M24" s="47"/>
    </row>
    <row r="25" spans="1:13">
      <c r="A25" s="281"/>
      <c r="B25" s="28">
        <f>+'Exhibit 6.2'!B25</f>
        <v>2005</v>
      </c>
      <c r="C25" s="281"/>
      <c r="D25" s="398">
        <v>28078.215000551714</v>
      </c>
      <c r="E25" s="102"/>
      <c r="F25" s="47">
        <f t="shared" si="1"/>
        <v>2.7901182765164734E-2</v>
      </c>
      <c r="G25" s="281"/>
      <c r="H25" s="399">
        <v>0.85091732174758938</v>
      </c>
      <c r="I25" s="281"/>
      <c r="J25" s="102">
        <f t="shared" si="0"/>
        <v>23892</v>
      </c>
      <c r="K25" s="47"/>
      <c r="L25" s="47">
        <f t="shared" si="2"/>
        <v>2.7878162106349968E-2</v>
      </c>
      <c r="M25" s="47"/>
    </row>
    <row r="26" spans="1:13">
      <c r="A26" s="281"/>
      <c r="B26" s="28">
        <f>+'Exhibit 6.2'!B26</f>
        <v>2006</v>
      </c>
      <c r="C26" s="281"/>
      <c r="D26" s="398">
        <v>30534.360409871384</v>
      </c>
      <c r="E26" s="102"/>
      <c r="F26" s="47">
        <f t="shared" si="1"/>
        <v>8.747512650898237E-2</v>
      </c>
      <c r="G26" s="281"/>
      <c r="H26" s="399">
        <v>0.84752468045174123</v>
      </c>
      <c r="I26" s="281"/>
      <c r="J26" s="102">
        <f t="shared" si="0"/>
        <v>25879</v>
      </c>
      <c r="K26" s="47"/>
      <c r="L26" s="47">
        <f t="shared" si="2"/>
        <v>8.316591327641043E-2</v>
      </c>
      <c r="M26" s="47"/>
    </row>
    <row r="27" spans="1:13">
      <c r="A27" s="281"/>
      <c r="B27" s="28">
        <f>+'Exhibit 6.2'!B27</f>
        <v>2007</v>
      </c>
      <c r="C27" s="281"/>
      <c r="D27" s="398">
        <v>33740.214268271346</v>
      </c>
      <c r="E27" s="102"/>
      <c r="F27" s="47">
        <f t="shared" si="1"/>
        <v>0.10499168200567732</v>
      </c>
      <c r="G27" s="281"/>
      <c r="H27" s="399">
        <v>0.83170727156119051</v>
      </c>
      <c r="I27" s="281"/>
      <c r="J27" s="102">
        <f t="shared" si="0"/>
        <v>28062</v>
      </c>
      <c r="K27" s="47"/>
      <c r="L27" s="47">
        <f t="shared" si="2"/>
        <v>8.4354109509640951E-2</v>
      </c>
      <c r="M27" s="47"/>
    </row>
    <row r="28" spans="1:13">
      <c r="A28" s="281"/>
      <c r="B28" s="28">
        <f>+'Exhibit 6.2'!B28</f>
        <v>2008</v>
      </c>
      <c r="C28" s="281"/>
      <c r="D28" s="398">
        <v>36112.517741875476</v>
      </c>
      <c r="E28" s="102"/>
      <c r="F28" s="47">
        <f t="shared" si="1"/>
        <v>7.0310859757491295E-2</v>
      </c>
      <c r="G28" s="281"/>
      <c r="H28" s="399">
        <v>0.82839039641394918</v>
      </c>
      <c r="I28" s="281"/>
      <c r="J28" s="102">
        <f t="shared" si="0"/>
        <v>29915</v>
      </c>
      <c r="K28" s="47"/>
      <c r="L28" s="47">
        <f t="shared" si="2"/>
        <v>6.6032356923954039E-2</v>
      </c>
      <c r="M28" s="47"/>
    </row>
    <row r="29" spans="1:13">
      <c r="A29" s="281"/>
      <c r="B29" s="28">
        <f>+'Exhibit 6.2'!B29</f>
        <v>2009</v>
      </c>
      <c r="C29" s="281"/>
      <c r="D29" s="398">
        <v>38055.958607090091</v>
      </c>
      <c r="E29" s="102"/>
      <c r="F29" s="47">
        <f>+D29/D28-1</f>
        <v>5.3816266124281809E-2</v>
      </c>
      <c r="G29" s="281"/>
      <c r="H29" s="399">
        <v>0.82509003626887367</v>
      </c>
      <c r="I29" s="281"/>
      <c r="J29" s="102">
        <f t="shared" si="0"/>
        <v>31400</v>
      </c>
      <c r="K29" s="47"/>
      <c r="L29" s="47">
        <f t="shared" si="2"/>
        <v>4.9640648504094997E-2</v>
      </c>
      <c r="M29" s="47"/>
    </row>
    <row r="30" spans="1:13">
      <c r="A30" s="281"/>
      <c r="B30" s="28">
        <f>+'Exhibit 6.2'!B30</f>
        <v>2010</v>
      </c>
      <c r="C30" s="288"/>
      <c r="D30" s="400">
        <v>37740.145923807882</v>
      </c>
      <c r="E30" s="289"/>
      <c r="F30" s="290">
        <f>+D30/D29-1</f>
        <v>-8.2986395518984679E-3</v>
      </c>
      <c r="G30" s="288"/>
      <c r="H30" s="148">
        <v>0.82262216975959501</v>
      </c>
      <c r="I30" s="288"/>
      <c r="J30" s="289">
        <f t="shared" si="0"/>
        <v>31046</v>
      </c>
      <c r="K30" s="290"/>
      <c r="L30" s="290">
        <f t="shared" si="2"/>
        <v>-1.127388535031848E-2</v>
      </c>
      <c r="M30" s="47"/>
    </row>
    <row r="31" spans="1:13">
      <c r="A31" s="281"/>
      <c r="B31" s="28">
        <f>+'Exhibit 6.2'!B31</f>
        <v>2011</v>
      </c>
      <c r="C31" s="281"/>
      <c r="D31" s="398">
        <v>33874.467352361346</v>
      </c>
      <c r="E31" s="102" t="s">
        <v>34</v>
      </c>
      <c r="F31" s="223" t="s">
        <v>29</v>
      </c>
      <c r="G31" s="281"/>
      <c r="H31" s="399">
        <v>0.84552751000564819</v>
      </c>
      <c r="I31" s="281"/>
      <c r="J31" s="102">
        <f t="shared" si="0"/>
        <v>28642</v>
      </c>
      <c r="K31" s="102" t="s">
        <v>34</v>
      </c>
      <c r="L31" s="223" t="s">
        <v>29</v>
      </c>
      <c r="M31" s="102"/>
    </row>
    <row r="32" spans="1:13">
      <c r="A32" s="281"/>
      <c r="B32" s="28">
        <f>+'Exhibit 6.2'!B32</f>
        <v>2012</v>
      </c>
      <c r="C32" s="281"/>
      <c r="D32" s="398">
        <v>31692.097286645905</v>
      </c>
      <c r="E32" s="102"/>
      <c r="F32" s="47">
        <f t="shared" ref="F32:F43" si="3">+D32/D31-1</f>
        <v>-6.4425221598748195E-2</v>
      </c>
      <c r="G32" s="281"/>
      <c r="H32" s="399">
        <v>0.89195652289173166</v>
      </c>
      <c r="I32" s="281"/>
      <c r="J32" s="102">
        <f t="shared" si="0"/>
        <v>28268</v>
      </c>
      <c r="K32" s="102"/>
      <c r="L32" s="47">
        <f t="shared" ref="L32:L43" si="4">+J32/J31-1</f>
        <v>-1.3057747364010885E-2</v>
      </c>
      <c r="M32" s="102"/>
    </row>
    <row r="33" spans="1:13">
      <c r="A33" s="281"/>
      <c r="B33" s="28">
        <f>+'Exhibit 6.2'!B33</f>
        <v>2013</v>
      </c>
      <c r="C33" s="281"/>
      <c r="D33" s="398">
        <v>29038.813026062835</v>
      </c>
      <c r="E33" s="102"/>
      <c r="F33" s="47">
        <f t="shared" si="3"/>
        <v>-8.372069025867479E-2</v>
      </c>
      <c r="G33" s="281"/>
      <c r="H33" s="399">
        <v>0.97277888366189669</v>
      </c>
      <c r="I33" s="281"/>
      <c r="J33" s="102">
        <f t="shared" si="0"/>
        <v>28248</v>
      </c>
      <c r="K33" s="102"/>
      <c r="L33" s="47">
        <f t="shared" si="4"/>
        <v>-7.0751379651901036E-4</v>
      </c>
      <c r="M33" s="47"/>
    </row>
    <row r="34" spans="1:13">
      <c r="A34" s="281"/>
      <c r="B34" s="28">
        <f>+'Exhibit 6.2'!B34</f>
        <v>2014</v>
      </c>
      <c r="C34" s="281"/>
      <c r="D34" s="398">
        <v>28312.511767719672</v>
      </c>
      <c r="E34" s="102"/>
      <c r="F34" s="47">
        <f t="shared" si="3"/>
        <v>-2.5011396219648985E-2</v>
      </c>
      <c r="G34" s="281"/>
      <c r="H34" s="399">
        <v>1.0350792698339313</v>
      </c>
      <c r="I34" s="281"/>
      <c r="J34" s="102">
        <f t="shared" si="0"/>
        <v>29306</v>
      </c>
      <c r="K34" s="102"/>
      <c r="L34" s="47">
        <f t="shared" si="4"/>
        <v>3.7453979042764152E-2</v>
      </c>
      <c r="M34" s="47"/>
    </row>
    <row r="35" spans="1:13">
      <c r="A35" s="281"/>
      <c r="B35" s="28">
        <f>+'Exhibit 6.2'!B35</f>
        <v>2015</v>
      </c>
      <c r="C35" s="281"/>
      <c r="D35" s="398">
        <v>27460.285168170256</v>
      </c>
      <c r="E35" s="102"/>
      <c r="F35" s="47">
        <f t="shared" si="3"/>
        <v>-3.0100706236918073E-2</v>
      </c>
      <c r="G35" s="281"/>
      <c r="H35" s="399">
        <v>1.0595007624074224</v>
      </c>
      <c r="I35" s="281"/>
      <c r="J35" s="102">
        <f t="shared" si="0"/>
        <v>29094</v>
      </c>
      <c r="K35" s="102"/>
      <c r="L35" s="47">
        <f t="shared" si="4"/>
        <v>-7.2340135125912308E-3</v>
      </c>
      <c r="M35" s="47"/>
    </row>
    <row r="36" spans="1:13">
      <c r="A36" s="281"/>
      <c r="B36" s="28">
        <f>+'Exhibit 6.2'!B36</f>
        <v>2016</v>
      </c>
      <c r="C36" s="281"/>
      <c r="D36" s="398">
        <v>26626.686968546048</v>
      </c>
      <c r="E36" s="102"/>
      <c r="F36" s="47">
        <f t="shared" si="3"/>
        <v>-3.0356501927024659E-2</v>
      </c>
      <c r="G36" s="281"/>
      <c r="H36" s="399">
        <v>1.0605825566151699</v>
      </c>
      <c r="I36" s="281"/>
      <c r="J36" s="102">
        <f>+ROUND(H36*D36,0)</f>
        <v>28240</v>
      </c>
      <c r="K36" s="102"/>
      <c r="L36" s="47">
        <f t="shared" si="4"/>
        <v>-2.9353131229806873E-2</v>
      </c>
      <c r="M36" s="47"/>
    </row>
    <row r="37" spans="1:13" s="89" customFormat="1">
      <c r="A37" s="281"/>
      <c r="B37" s="28">
        <f>+'Exhibit 6.2'!B37</f>
        <v>2017</v>
      </c>
      <c r="C37" s="281"/>
      <c r="D37" s="398">
        <v>26891.319526565865</v>
      </c>
      <c r="E37" s="102"/>
      <c r="F37" s="47">
        <f t="shared" si="3"/>
        <v>9.9386212912040417E-3</v>
      </c>
      <c r="G37" s="281"/>
      <c r="H37" s="399">
        <v>1.0605867989623656</v>
      </c>
      <c r="I37" s="281"/>
      <c r="J37" s="102">
        <f>+ROUND(H37*D37,0)</f>
        <v>28521</v>
      </c>
      <c r="K37" s="102"/>
      <c r="L37" s="47">
        <f t="shared" si="4"/>
        <v>9.9504249291784141E-3</v>
      </c>
      <c r="M37" s="47"/>
    </row>
    <row r="38" spans="1:13" s="140" customFormat="1">
      <c r="A38" s="281"/>
      <c r="B38" s="28">
        <f>+'Exhibit 6.2'!B38</f>
        <v>2018</v>
      </c>
      <c r="C38" s="281"/>
      <c r="D38" s="398">
        <v>28199.704036722498</v>
      </c>
      <c r="E38" s="102"/>
      <c r="F38" s="47">
        <f t="shared" si="3"/>
        <v>4.8654529907470101E-2</v>
      </c>
      <c r="G38" s="320"/>
      <c r="H38" s="399">
        <v>1.0574124467970809</v>
      </c>
      <c r="I38" s="320"/>
      <c r="J38" s="102">
        <f t="shared" ref="J38:J43" si="5">+ROUND(H38*D38,0)</f>
        <v>29819</v>
      </c>
      <c r="K38" s="102"/>
      <c r="L38" s="47">
        <f t="shared" si="4"/>
        <v>4.5510325724904543E-2</v>
      </c>
      <c r="M38" s="47"/>
    </row>
    <row r="39" spans="1:13" s="177" customFormat="1">
      <c r="A39" s="281"/>
      <c r="B39" s="28">
        <f>+'Exhibit 6.2'!B39</f>
        <v>2019</v>
      </c>
      <c r="C39" s="281"/>
      <c r="D39" s="398">
        <v>28979.307185998918</v>
      </c>
      <c r="E39" s="102"/>
      <c r="F39" s="47">
        <f t="shared" si="3"/>
        <v>2.7645791894170157E-2</v>
      </c>
      <c r="G39" s="320"/>
      <c r="H39" s="399">
        <v>1.0458784987132712</v>
      </c>
      <c r="I39" s="320"/>
      <c r="J39" s="102">
        <f t="shared" si="5"/>
        <v>30309</v>
      </c>
      <c r="K39" s="102"/>
      <c r="L39" s="47">
        <f t="shared" si="4"/>
        <v>1.6432475938160218E-2</v>
      </c>
      <c r="M39" s="47"/>
    </row>
    <row r="40" spans="1:13" s="199" customFormat="1">
      <c r="A40" s="281"/>
      <c r="B40" s="28">
        <f>+'Exhibit 6.2'!B40</f>
        <v>2020</v>
      </c>
      <c r="C40" s="281"/>
      <c r="D40" s="398">
        <v>30716.716981629383</v>
      </c>
      <c r="E40" s="102"/>
      <c r="F40" s="47">
        <f t="shared" si="3"/>
        <v>5.9953462119683776E-2</v>
      </c>
      <c r="G40" s="320"/>
      <c r="H40" s="399">
        <v>1.0324198732456411</v>
      </c>
      <c r="I40" s="320"/>
      <c r="J40" s="102">
        <f t="shared" si="5"/>
        <v>31713</v>
      </c>
      <c r="K40" s="102"/>
      <c r="L40" s="47">
        <f t="shared" si="4"/>
        <v>4.6322874393744495E-2</v>
      </c>
      <c r="M40" s="47"/>
    </row>
    <row r="41" spans="1:13" s="199" customFormat="1">
      <c r="A41" s="320"/>
      <c r="B41" s="28">
        <f>+'Exhibit 6.2'!B41</f>
        <v>2021</v>
      </c>
      <c r="C41" s="320"/>
      <c r="D41" s="398">
        <v>30650.456519146643</v>
      </c>
      <c r="E41" s="102"/>
      <c r="F41" s="47">
        <f t="shared" si="3"/>
        <v>-2.1571466287353402E-3</v>
      </c>
      <c r="G41" s="320"/>
      <c r="H41" s="399">
        <v>1.0221817013251682</v>
      </c>
      <c r="I41" s="320"/>
      <c r="J41" s="102">
        <f t="shared" si="5"/>
        <v>31330</v>
      </c>
      <c r="K41" s="102"/>
      <c r="L41" s="47">
        <f t="shared" si="4"/>
        <v>-1.2077066187367924E-2</v>
      </c>
      <c r="M41" s="47"/>
    </row>
    <row r="42" spans="1:13" s="199" customFormat="1">
      <c r="A42" s="323"/>
      <c r="B42" s="28">
        <f>+'Exhibit 6.2'!B42</f>
        <v>2022</v>
      </c>
      <c r="C42" s="323"/>
      <c r="D42" s="398">
        <v>31545.084987699283</v>
      </c>
      <c r="E42" s="102"/>
      <c r="F42" s="47">
        <f t="shared" si="3"/>
        <v>2.9188096040063449E-2</v>
      </c>
      <c r="G42" s="323"/>
      <c r="H42" s="399">
        <v>1.0130560920479998</v>
      </c>
      <c r="I42" s="323"/>
      <c r="J42" s="102">
        <f t="shared" si="5"/>
        <v>31957</v>
      </c>
      <c r="K42" s="102"/>
      <c r="L42" s="47">
        <f t="shared" si="4"/>
        <v>2.0012767315671809E-2</v>
      </c>
      <c r="M42" s="47"/>
    </row>
    <row r="43" spans="1:13">
      <c r="A43" s="281"/>
      <c r="B43" s="28">
        <f>+'Exhibit 6.2'!B43</f>
        <v>2023</v>
      </c>
      <c r="C43" s="281"/>
      <c r="D43" s="398">
        <v>31972.565392289791</v>
      </c>
      <c r="E43" s="102"/>
      <c r="F43" s="47">
        <f t="shared" si="3"/>
        <v>1.3551410774680139E-2</v>
      </c>
      <c r="G43" s="281"/>
      <c r="H43" s="399">
        <v>1.0110340239999998</v>
      </c>
      <c r="I43" s="281"/>
      <c r="J43" s="102">
        <f t="shared" si="5"/>
        <v>32325</v>
      </c>
      <c r="K43" s="102"/>
      <c r="L43" s="47">
        <f t="shared" si="4"/>
        <v>1.151547391807739E-2</v>
      </c>
      <c r="M43" s="47"/>
    </row>
    <row r="44" spans="1:13" s="108" customFormat="1">
      <c r="A44" s="281"/>
      <c r="B44" s="28"/>
      <c r="C44" s="281"/>
      <c r="D44" s="102"/>
      <c r="E44" s="102"/>
      <c r="F44" s="47"/>
      <c r="G44" s="281"/>
      <c r="H44" s="40"/>
      <c r="I44" s="281"/>
      <c r="J44" s="102"/>
      <c r="K44" s="102"/>
      <c r="L44" s="47"/>
      <c r="M44" s="47"/>
    </row>
    <row r="45" spans="1:13">
      <c r="A45" s="281"/>
      <c r="B45" s="167"/>
      <c r="C45" s="281"/>
      <c r="D45" s="281"/>
      <c r="E45" s="281"/>
      <c r="F45" s="281"/>
      <c r="G45" s="281"/>
      <c r="H45" s="281"/>
      <c r="I45" s="281"/>
      <c r="J45" s="281"/>
      <c r="K45" s="281"/>
      <c r="L45" s="281"/>
      <c r="M45" s="281"/>
    </row>
    <row r="46" spans="1:13">
      <c r="A46" s="281"/>
      <c r="B46" s="167"/>
      <c r="C46" s="281"/>
      <c r="D46" s="281"/>
      <c r="E46" s="281"/>
      <c r="F46" s="281"/>
      <c r="G46" s="281"/>
      <c r="H46" s="281"/>
      <c r="I46" s="210" t="s">
        <v>199</v>
      </c>
      <c r="J46" s="281"/>
      <c r="K46" s="281"/>
      <c r="L46" s="47">
        <f>+'Exhibit 6.4'!P38</f>
        <v>0.02</v>
      </c>
      <c r="M46" s="281"/>
    </row>
    <row r="47" spans="1:13">
      <c r="A47" s="281"/>
      <c r="B47" s="167"/>
      <c r="C47" s="281"/>
      <c r="D47" s="281"/>
      <c r="E47" s="281"/>
      <c r="F47" s="281"/>
      <c r="G47" s="281"/>
      <c r="H47" s="281"/>
      <c r="I47" s="281"/>
      <c r="J47" s="281"/>
      <c r="K47" s="281"/>
      <c r="L47" s="281"/>
      <c r="M47" s="281"/>
    </row>
    <row r="48" spans="1:13">
      <c r="A48" s="281"/>
      <c r="B48" s="167"/>
      <c r="C48" s="281"/>
      <c r="D48" s="281"/>
      <c r="E48" s="281"/>
      <c r="F48" s="281"/>
      <c r="G48" s="281"/>
      <c r="H48" s="281"/>
      <c r="I48" s="281"/>
      <c r="J48" s="281"/>
      <c r="K48" s="281"/>
      <c r="L48" s="281"/>
      <c r="M48" s="281"/>
    </row>
    <row r="49" spans="1:13" ht="42" customHeight="1">
      <c r="A49" s="342" t="s">
        <v>22</v>
      </c>
      <c r="B49" s="436" t="s">
        <v>384</v>
      </c>
      <c r="C49" s="436"/>
      <c r="D49" s="436"/>
      <c r="E49" s="436"/>
      <c r="F49" s="436"/>
      <c r="G49" s="436"/>
      <c r="H49" s="436"/>
      <c r="I49" s="436"/>
      <c r="J49" s="436"/>
      <c r="K49" s="436"/>
      <c r="L49" s="436"/>
      <c r="M49" s="436"/>
    </row>
    <row r="50" spans="1:13" ht="39" customHeight="1">
      <c r="A50" s="342" t="s">
        <v>26</v>
      </c>
      <c r="B50" s="436" t="s">
        <v>366</v>
      </c>
      <c r="C50" s="436"/>
      <c r="D50" s="436"/>
      <c r="E50" s="436"/>
      <c r="F50" s="436"/>
      <c r="G50" s="436"/>
      <c r="H50" s="436"/>
      <c r="I50" s="436"/>
      <c r="J50" s="436"/>
      <c r="K50" s="436"/>
      <c r="L50" s="436"/>
      <c r="M50" s="436"/>
    </row>
    <row r="51" spans="1:13" ht="27" customHeight="1">
      <c r="A51" s="342" t="s">
        <v>34</v>
      </c>
      <c r="B51" s="436" t="s">
        <v>323</v>
      </c>
      <c r="C51" s="436"/>
      <c r="D51" s="436"/>
      <c r="E51" s="436"/>
      <c r="F51" s="436"/>
      <c r="G51" s="436"/>
      <c r="H51" s="436"/>
      <c r="I51" s="436"/>
      <c r="J51" s="436"/>
      <c r="K51" s="436"/>
      <c r="L51" s="436"/>
      <c r="M51" s="436"/>
    </row>
    <row r="52" spans="1:13">
      <c r="A52" s="281"/>
      <c r="B52" s="281"/>
      <c r="C52" s="281"/>
      <c r="D52" s="281"/>
      <c r="E52" s="281"/>
      <c r="F52" s="281"/>
      <c r="G52" s="281"/>
      <c r="H52" s="281"/>
      <c r="I52" s="281"/>
      <c r="J52" s="281"/>
      <c r="K52" s="281"/>
      <c r="L52" s="281"/>
      <c r="M52" s="281"/>
    </row>
    <row r="53" spans="1:13">
      <c r="A53" s="281"/>
      <c r="B53" s="323" t="s">
        <v>371</v>
      </c>
      <c r="C53" s="281"/>
      <c r="D53" s="281"/>
      <c r="E53" s="281"/>
      <c r="F53" s="281"/>
      <c r="G53" s="281"/>
      <c r="H53" s="281"/>
      <c r="I53" s="281"/>
      <c r="J53" s="281"/>
      <c r="K53" s="281"/>
      <c r="L53" s="281"/>
      <c r="M53" s="281"/>
    </row>
  </sheetData>
  <mergeCells count="3">
    <mergeCell ref="B49:M49"/>
    <mergeCell ref="B50:M50"/>
    <mergeCell ref="B51:M51"/>
  </mergeCells>
  <printOptions horizontalCentered="1"/>
  <pageMargins left="0.5" right="0.5" top="0.75" bottom="0.75" header="0.33" footer="0.33"/>
  <pageSetup scale="95" orientation="portrait" blackAndWhite="1" r:id="rId1"/>
  <headerFooter scaleWithDoc="0">
    <oddHeader>&amp;R&amp;"Arial,Regular"&amp;10Exhibit 6.3</oddHeader>
  </headerFooter>
  <ignoredErrors>
    <ignoredError sqref="D4:L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U45"/>
  <sheetViews>
    <sheetView zoomScaleNormal="100" zoomScaleSheetLayoutView="100" workbookViewId="0"/>
  </sheetViews>
  <sheetFormatPr defaultColWidth="9.140625" defaultRowHeight="12.75"/>
  <cols>
    <col min="1" max="1" width="9.140625" style="53"/>
    <col min="2" max="2" width="11.140625" style="53" customWidth="1"/>
    <col min="3" max="3" width="3.85546875" style="53" customWidth="1"/>
    <col min="4" max="4" width="11.140625" style="53" customWidth="1"/>
    <col min="5" max="5" width="3.85546875" style="53" customWidth="1"/>
    <col min="6" max="6" width="11.140625" style="53" customWidth="1"/>
    <col min="7" max="7" width="3.85546875" style="53" customWidth="1"/>
    <col min="8" max="8" width="11.140625" style="53" customWidth="1"/>
    <col min="9" max="9" width="3.85546875" style="53" customWidth="1"/>
    <col min="10" max="10" width="11.140625" style="53" customWidth="1"/>
    <col min="11" max="11" width="4" style="53" customWidth="1"/>
    <col min="12" max="12" width="11.140625" style="53" customWidth="1"/>
    <col min="13" max="13" width="3.85546875" style="53" customWidth="1"/>
    <col min="14" max="14" width="11.140625" style="53" customWidth="1"/>
    <col min="15" max="15" width="3.85546875" style="53" customWidth="1"/>
    <col min="16" max="16" width="11.140625" style="53" customWidth="1"/>
    <col min="17" max="17" width="3.85546875" style="53" customWidth="1"/>
    <col min="18" max="16384" width="9.140625" style="53"/>
  </cols>
  <sheetData>
    <row r="1" spans="1:17">
      <c r="A1" s="226" t="s">
        <v>187</v>
      </c>
      <c r="B1" s="227"/>
      <c r="C1" s="227"/>
      <c r="D1" s="227"/>
      <c r="E1" s="227"/>
      <c r="F1" s="227"/>
      <c r="G1" s="227"/>
      <c r="H1" s="227"/>
      <c r="I1" s="227"/>
      <c r="J1" s="227"/>
      <c r="K1" s="227"/>
      <c r="L1" s="227"/>
      <c r="M1" s="227"/>
      <c r="N1" s="227"/>
      <c r="O1" s="227"/>
      <c r="P1" s="227"/>
      <c r="Q1" s="227"/>
    </row>
    <row r="2" spans="1:17">
      <c r="A2" s="226" t="s">
        <v>190</v>
      </c>
      <c r="B2" s="227"/>
      <c r="C2" s="227"/>
      <c r="D2" s="227"/>
      <c r="E2" s="227"/>
      <c r="F2" s="227"/>
      <c r="G2" s="227"/>
      <c r="H2" s="227"/>
      <c r="I2" s="227"/>
      <c r="J2" s="227"/>
      <c r="K2" s="227"/>
      <c r="L2" s="227"/>
      <c r="M2" s="227"/>
      <c r="N2" s="227"/>
      <c r="O2" s="227"/>
      <c r="P2" s="227"/>
      <c r="Q2" s="227"/>
    </row>
    <row r="3" spans="1:17">
      <c r="A3" s="226" t="s">
        <v>492</v>
      </c>
      <c r="B3" s="227"/>
      <c r="C3" s="227"/>
      <c r="D3" s="227"/>
      <c r="E3" s="227"/>
      <c r="F3" s="227"/>
      <c r="G3" s="227"/>
      <c r="H3" s="227"/>
      <c r="I3" s="227"/>
      <c r="J3" s="227"/>
      <c r="K3" s="227"/>
      <c r="L3" s="227"/>
      <c r="M3" s="227"/>
      <c r="N3" s="227"/>
      <c r="O3" s="227"/>
      <c r="P3" s="227"/>
      <c r="Q3" s="227"/>
    </row>
    <row r="4" spans="1:17">
      <c r="A4" s="48"/>
      <c r="B4" s="48"/>
      <c r="C4" s="48"/>
      <c r="D4" s="48"/>
      <c r="E4" s="48"/>
      <c r="F4" s="48"/>
      <c r="G4" s="48"/>
      <c r="H4" s="48"/>
      <c r="I4" s="48"/>
      <c r="J4" s="48"/>
      <c r="K4" s="48"/>
      <c r="L4" s="48"/>
      <c r="M4" s="48"/>
      <c r="N4" s="48"/>
      <c r="O4" s="48"/>
      <c r="P4" s="48"/>
      <c r="Q4" s="48"/>
    </row>
    <row r="5" spans="1:17">
      <c r="A5" s="48"/>
      <c r="B5" s="48"/>
      <c r="C5" s="48"/>
      <c r="D5" s="48"/>
      <c r="E5" s="48"/>
      <c r="F5" s="48"/>
      <c r="G5" s="48"/>
      <c r="H5" s="48"/>
      <c r="I5" s="48"/>
      <c r="J5" s="448" t="s">
        <v>191</v>
      </c>
      <c r="K5" s="448"/>
      <c r="L5" s="448"/>
      <c r="M5" s="448"/>
      <c r="N5" s="448"/>
      <c r="O5" s="448"/>
      <c r="P5" s="448"/>
      <c r="Q5" s="48"/>
    </row>
    <row r="6" spans="1:17">
      <c r="A6" s="48"/>
      <c r="B6" s="48"/>
      <c r="C6" s="48"/>
      <c r="D6" s="48"/>
      <c r="E6" s="48"/>
      <c r="F6" s="48"/>
      <c r="G6" s="48"/>
      <c r="H6" s="48"/>
      <c r="I6" s="48"/>
      <c r="J6" s="448" t="s">
        <v>192</v>
      </c>
      <c r="K6" s="448"/>
      <c r="L6" s="448"/>
      <c r="M6" s="448"/>
      <c r="N6" s="448"/>
      <c r="O6" s="448"/>
      <c r="P6" s="448"/>
      <c r="Q6" s="48"/>
    </row>
    <row r="7" spans="1:17">
      <c r="A7" s="48"/>
      <c r="B7" s="447" t="s">
        <v>193</v>
      </c>
      <c r="C7" s="447"/>
      <c r="D7" s="447"/>
      <c r="E7" s="447"/>
      <c r="F7" s="447"/>
      <c r="G7" s="447"/>
      <c r="H7" s="447"/>
      <c r="I7" s="48"/>
      <c r="J7" s="447" t="s">
        <v>194</v>
      </c>
      <c r="K7" s="447"/>
      <c r="L7" s="447"/>
      <c r="M7" s="447"/>
      <c r="N7" s="447"/>
      <c r="O7" s="447"/>
      <c r="P7" s="447"/>
      <c r="Q7" s="48"/>
    </row>
    <row r="8" spans="1:17">
      <c r="A8" s="228" t="s">
        <v>38</v>
      </c>
      <c r="B8" s="229" t="s">
        <v>39</v>
      </c>
      <c r="C8" s="229"/>
      <c r="D8" s="229" t="s">
        <v>40</v>
      </c>
      <c r="E8" s="229"/>
      <c r="F8" s="229" t="s">
        <v>41</v>
      </c>
      <c r="G8" s="229"/>
      <c r="H8" s="229" t="s">
        <v>42</v>
      </c>
      <c r="I8" s="285"/>
      <c r="J8" s="229" t="s">
        <v>43</v>
      </c>
      <c r="K8" s="229"/>
      <c r="L8" s="229" t="s">
        <v>121</v>
      </c>
      <c r="M8" s="229"/>
      <c r="N8" s="229" t="s">
        <v>195</v>
      </c>
      <c r="O8" s="229"/>
      <c r="P8" s="229" t="s">
        <v>196</v>
      </c>
      <c r="Q8" s="208"/>
    </row>
    <row r="9" spans="1:17">
      <c r="A9" s="285"/>
      <c r="B9" s="285" t="s">
        <v>182</v>
      </c>
      <c r="C9" s="285"/>
      <c r="D9" s="285"/>
      <c r="E9" s="285"/>
      <c r="F9" s="285" t="s">
        <v>47</v>
      </c>
      <c r="G9" s="285"/>
      <c r="H9" s="285"/>
      <c r="I9" s="285"/>
      <c r="J9" s="285" t="s">
        <v>182</v>
      </c>
      <c r="K9" s="285"/>
      <c r="L9" s="285"/>
      <c r="M9" s="285"/>
      <c r="N9" s="285" t="s">
        <v>47</v>
      </c>
      <c r="O9" s="285"/>
      <c r="P9" s="285"/>
      <c r="Q9" s="208"/>
    </row>
    <row r="10" spans="1:17">
      <c r="A10" s="285" t="s">
        <v>46</v>
      </c>
      <c r="B10" s="285" t="s">
        <v>47</v>
      </c>
      <c r="C10" s="285"/>
      <c r="D10" s="285" t="s">
        <v>55</v>
      </c>
      <c r="E10" s="285"/>
      <c r="F10" s="285" t="s">
        <v>197</v>
      </c>
      <c r="G10" s="285"/>
      <c r="H10" s="285" t="s">
        <v>55</v>
      </c>
      <c r="I10" s="285"/>
      <c r="J10" s="285" t="s">
        <v>47</v>
      </c>
      <c r="K10" s="285"/>
      <c r="L10" s="285" t="s">
        <v>55</v>
      </c>
      <c r="M10" s="285"/>
      <c r="N10" s="285" t="s">
        <v>197</v>
      </c>
      <c r="O10" s="285"/>
      <c r="P10" s="285" t="s">
        <v>55</v>
      </c>
      <c r="Q10" s="208"/>
    </row>
    <row r="11" spans="1:17">
      <c r="A11" s="230" t="s">
        <v>8</v>
      </c>
      <c r="B11" s="230" t="s">
        <v>188</v>
      </c>
      <c r="C11" s="230"/>
      <c r="D11" s="230" t="s">
        <v>185</v>
      </c>
      <c r="E11" s="230"/>
      <c r="F11" s="230" t="s">
        <v>198</v>
      </c>
      <c r="G11" s="230"/>
      <c r="H11" s="230" t="s">
        <v>185</v>
      </c>
      <c r="I11" s="285"/>
      <c r="J11" s="230" t="s">
        <v>188</v>
      </c>
      <c r="K11" s="230"/>
      <c r="L11" s="230" t="s">
        <v>185</v>
      </c>
      <c r="M11" s="230"/>
      <c r="N11" s="230" t="s">
        <v>198</v>
      </c>
      <c r="O11" s="230"/>
      <c r="P11" s="230" t="s">
        <v>185</v>
      </c>
      <c r="Q11" s="208"/>
    </row>
    <row r="12" spans="1:17">
      <c r="A12" s="285"/>
      <c r="B12" s="48"/>
      <c r="C12" s="48"/>
      <c r="D12" s="48"/>
      <c r="E12" s="48"/>
      <c r="F12" s="48"/>
      <c r="G12" s="48"/>
      <c r="H12" s="48"/>
      <c r="I12" s="48"/>
      <c r="J12" s="48"/>
      <c r="K12" s="48"/>
      <c r="L12" s="48"/>
      <c r="M12" s="48"/>
      <c r="N12" s="48"/>
      <c r="O12" s="48"/>
      <c r="P12" s="48"/>
      <c r="Q12" s="48"/>
    </row>
    <row r="13" spans="1:17">
      <c r="A13" s="285">
        <v>2005</v>
      </c>
      <c r="B13" s="136">
        <f>'Exhibit 6.3'!D25</f>
        <v>28078.215000551714</v>
      </c>
      <c r="C13" s="136"/>
      <c r="D13" s="231" t="s">
        <v>29</v>
      </c>
      <c r="E13" s="49"/>
      <c r="F13" s="136">
        <f>INDEX('Exhibit 6.3'!$H$10:$H$43,MATCH($A13,'Exhibit 6.3'!$B$10:$B$43,0))*$B13</f>
        <v>23892.239507722454</v>
      </c>
      <c r="G13" s="49"/>
      <c r="H13" s="231" t="s">
        <v>29</v>
      </c>
      <c r="I13" s="48"/>
      <c r="J13" s="401">
        <v>27058.623178321184</v>
      </c>
      <c r="K13" s="136"/>
      <c r="L13" s="231" t="s">
        <v>29</v>
      </c>
      <c r="M13" s="49"/>
      <c r="N13" s="136">
        <f>INDEX('Exhibit 6.3'!$H$10:$H$43,MATCH($A13,'Exhibit 6.3'!$B$10:$B$43,0))*$J13</f>
        <v>23024.651165074305</v>
      </c>
      <c r="O13" s="49"/>
      <c r="P13" s="231" t="s">
        <v>29</v>
      </c>
      <c r="Q13" s="48"/>
    </row>
    <row r="14" spans="1:17">
      <c r="A14" s="285">
        <f>A13+1</f>
        <v>2006</v>
      </c>
      <c r="B14" s="136">
        <f>'Exhibit 6.3'!D26</f>
        <v>30534.360409871384</v>
      </c>
      <c r="C14" s="136"/>
      <c r="D14" s="49">
        <f t="shared" ref="D14:D31" si="0">B14/B13-1</f>
        <v>8.747512650898237E-2</v>
      </c>
      <c r="E14" s="49"/>
      <c r="F14" s="136">
        <f>INDEX('Exhibit 6.3'!$H$10:$H$43,MATCH($A14,'Exhibit 6.3'!$B$10:$B$43,0))*$B14</f>
        <v>25878.624049174545</v>
      </c>
      <c r="G14" s="49"/>
      <c r="H14" s="49">
        <f t="shared" ref="H14:H23" si="1">F14/F13-1</f>
        <v>8.3139319811776247E-2</v>
      </c>
      <c r="I14" s="48"/>
      <c r="J14" s="401">
        <v>29115.836720172094</v>
      </c>
      <c r="K14" s="136"/>
      <c r="L14" s="49">
        <f t="shared" ref="L14:L23" si="2">J14/J13-1</f>
        <v>7.6028019914150979E-2</v>
      </c>
      <c r="M14" s="49"/>
      <c r="N14" s="136">
        <f>INDEX('Exhibit 6.3'!$H$10:$H$43,MATCH($A14,'Exhibit 6.3'!$B$10:$B$43,0))*$J14</f>
        <v>24676.390212348928</v>
      </c>
      <c r="O14" s="49"/>
      <c r="P14" s="49">
        <f t="shared" ref="P14:P23" si="3">N14/N13-1</f>
        <v>7.1737853287441755E-2</v>
      </c>
      <c r="Q14" s="48"/>
    </row>
    <row r="15" spans="1:17">
      <c r="A15" s="285">
        <f t="shared" ref="A15:A31" si="4">A14+1</f>
        <v>2007</v>
      </c>
      <c r="B15" s="136">
        <f>'Exhibit 6.3'!D27</f>
        <v>33740.214268271346</v>
      </c>
      <c r="C15" s="136"/>
      <c r="D15" s="49">
        <f t="shared" si="0"/>
        <v>0.10499168200567732</v>
      </c>
      <c r="E15" s="49"/>
      <c r="F15" s="136">
        <f>INDEX('Exhibit 6.3'!$H$10:$H$43,MATCH($A15,'Exhibit 6.3'!$B$10:$B$43,0))*$B15</f>
        <v>28061.981550953911</v>
      </c>
      <c r="G15" s="49"/>
      <c r="H15" s="49">
        <f t="shared" si="1"/>
        <v>8.4369149520103992E-2</v>
      </c>
      <c r="I15" s="48"/>
      <c r="J15" s="401">
        <v>32035.852039828071</v>
      </c>
      <c r="K15" s="136"/>
      <c r="L15" s="49">
        <f t="shared" si="2"/>
        <v>0.10028958974182345</v>
      </c>
      <c r="M15" s="49"/>
      <c r="N15" s="136">
        <f>INDEX('Exhibit 6.3'!$H$10:$H$43,MATCH($A15,'Exhibit 6.3'!$B$10:$B$43,0))*$J15</f>
        <v>26644.451092183404</v>
      </c>
      <c r="O15" s="49"/>
      <c r="P15" s="49">
        <f t="shared" si="3"/>
        <v>7.9754812713635381E-2</v>
      </c>
      <c r="Q15" s="48"/>
    </row>
    <row r="16" spans="1:17">
      <c r="A16" s="285">
        <f t="shared" si="4"/>
        <v>2008</v>
      </c>
      <c r="B16" s="136">
        <f>'Exhibit 6.3'!D28</f>
        <v>36112.517741875476</v>
      </c>
      <c r="C16" s="136"/>
      <c r="D16" s="49">
        <f t="shared" si="0"/>
        <v>7.0310859757491295E-2</v>
      </c>
      <c r="E16" s="49"/>
      <c r="F16" s="136">
        <f>INDEX('Exhibit 6.3'!$H$10:$H$43,MATCH($A16,'Exhibit 6.3'!$B$10:$B$43,0))*$B16</f>
        <v>29915.262887697998</v>
      </c>
      <c r="G16" s="49"/>
      <c r="H16" s="49">
        <f t="shared" si="1"/>
        <v>6.6042425884250688E-2</v>
      </c>
      <c r="I16" s="48"/>
      <c r="J16" s="401">
        <v>33519.031101418936</v>
      </c>
      <c r="K16" s="136"/>
      <c r="L16" s="49">
        <f t="shared" si="2"/>
        <v>4.6297475083444839E-2</v>
      </c>
      <c r="M16" s="49"/>
      <c r="N16" s="136">
        <f>INDEX('Exhibit 6.3'!$H$10:$H$43,MATCH($A16,'Exhibit 6.3'!$B$10:$B$43,0))*$J16</f>
        <v>27766.843461515924</v>
      </c>
      <c r="O16" s="49"/>
      <c r="P16" s="49">
        <f t="shared" si="3"/>
        <v>4.2124807354796401E-2</v>
      </c>
      <c r="Q16" s="48"/>
    </row>
    <row r="17" spans="1:21">
      <c r="A17" s="285">
        <f t="shared" si="4"/>
        <v>2009</v>
      </c>
      <c r="B17" s="136">
        <f>'Exhibit 6.3'!D29</f>
        <v>38055.958607090091</v>
      </c>
      <c r="C17" s="136"/>
      <c r="D17" s="49">
        <f t="shared" si="0"/>
        <v>5.3816266124281809E-2</v>
      </c>
      <c r="E17" s="49"/>
      <c r="F17" s="136">
        <f>INDEX('Exhibit 6.3'!$H$10:$H$43,MATCH($A17,'Exhibit 6.3'!$B$10:$B$43,0))*$B17</f>
        <v>31399.592267370717</v>
      </c>
      <c r="G17" s="49"/>
      <c r="H17" s="49">
        <f t="shared" si="1"/>
        <v>4.9617794944503579E-2</v>
      </c>
      <c r="I17" s="48"/>
      <c r="J17" s="401">
        <v>35477.317249453001</v>
      </c>
      <c r="K17" s="136"/>
      <c r="L17" s="49">
        <f t="shared" si="2"/>
        <v>5.8423113189306042E-2</v>
      </c>
      <c r="M17" s="49"/>
      <c r="N17" s="136">
        <f>INDEX('Exhibit 6.3'!$H$10:$H$43,MATCH($A17,'Exhibit 6.3'!$B$10:$B$43,0))*$J17</f>
        <v>29271.980976073515</v>
      </c>
      <c r="O17" s="49"/>
      <c r="P17" s="49">
        <f t="shared" si="3"/>
        <v>5.4206288037157435E-2</v>
      </c>
      <c r="Q17" s="48"/>
    </row>
    <row r="18" spans="1:21">
      <c r="A18" s="285">
        <f t="shared" si="4"/>
        <v>2010</v>
      </c>
      <c r="B18" s="136">
        <f>'Exhibit 6.3'!D30</f>
        <v>37740.145923807882</v>
      </c>
      <c r="C18" s="136"/>
      <c r="D18" s="49">
        <f t="shared" si="0"/>
        <v>-8.2986395518984679E-3</v>
      </c>
      <c r="E18" s="49"/>
      <c r="F18" s="136">
        <f>INDEX('Exhibit 6.3'!$H$10:$H$43,MATCH($A18,'Exhibit 6.3'!$B$10:$B$43,0))*$B18</f>
        <v>31045.880726886575</v>
      </c>
      <c r="G18" s="49"/>
      <c r="H18" s="49">
        <f t="shared" si="1"/>
        <v>-1.1264845016847769E-2</v>
      </c>
      <c r="I18" s="48"/>
      <c r="J18" s="401">
        <v>35147.756025306131</v>
      </c>
      <c r="K18" s="232"/>
      <c r="L18" s="233">
        <f t="shared" si="2"/>
        <v>-9.2893502016968554E-3</v>
      </c>
      <c r="M18" s="233"/>
      <c r="N18" s="136">
        <f>INDEX('Exhibit 6.3'!$H$10:$H$43,MATCH($A18,'Exhibit 6.3'!$B$10:$B$43,0))*$J18</f>
        <v>28913.32332371821</v>
      </c>
      <c r="O18" s="233"/>
      <c r="P18" s="49">
        <f t="shared" si="3"/>
        <v>-1.2252592424423447E-2</v>
      </c>
      <c r="Q18" s="48"/>
    </row>
    <row r="19" spans="1:21">
      <c r="A19" s="285">
        <f t="shared" si="4"/>
        <v>2011</v>
      </c>
      <c r="B19" s="401">
        <v>36495.294177021984</v>
      </c>
      <c r="C19" s="136"/>
      <c r="D19" s="49">
        <f t="shared" si="0"/>
        <v>-3.2984815408479862E-2</v>
      </c>
      <c r="E19" s="49"/>
      <c r="F19" s="136">
        <f>INDEX('Exhibit 6.3'!$H$10:$H$43,MATCH($A19,'Exhibit 6.3'!$B$10:$B$43,0))*$B19</f>
        <v>30857.775212421031</v>
      </c>
      <c r="G19" s="49"/>
      <c r="H19" s="49">
        <f t="shared" si="1"/>
        <v>-6.0589524298030328E-3</v>
      </c>
      <c r="I19" s="48"/>
      <c r="J19" s="136">
        <f>'Exhibit 6.3'!D31</f>
        <v>33874.467352361346</v>
      </c>
      <c r="K19" s="136"/>
      <c r="L19" s="49">
        <f t="shared" si="2"/>
        <v>-3.6226741531608098E-2</v>
      </c>
      <c r="M19" s="49"/>
      <c r="N19" s="136">
        <f>INDEX('Exhibit 6.3'!$H$10:$H$43,MATCH($A19,'Exhibit 6.3'!$B$10:$B$43,0))*$J19</f>
        <v>28641.79403320971</v>
      </c>
      <c r="O19" s="49"/>
      <c r="P19" s="49">
        <f t="shared" si="3"/>
        <v>-9.3911477234358554E-3</v>
      </c>
      <c r="Q19" s="48"/>
    </row>
    <row r="20" spans="1:21">
      <c r="A20" s="285">
        <f t="shared" si="4"/>
        <v>2012</v>
      </c>
      <c r="B20" s="401">
        <v>34436.450593733629</v>
      </c>
      <c r="C20" s="136"/>
      <c r="D20" s="49">
        <f t="shared" si="0"/>
        <v>-5.6413946776311619E-2</v>
      </c>
      <c r="E20" s="49"/>
      <c r="F20" s="136">
        <f>INDEX('Exhibit 6.3'!$H$10:$H$43,MATCH($A20,'Exhibit 6.3'!$B$10:$B$43,0))*$B20</f>
        <v>30715.816732319556</v>
      </c>
      <c r="G20" s="49"/>
      <c r="H20" s="49">
        <f t="shared" si="1"/>
        <v>-4.600412023363698E-3</v>
      </c>
      <c r="I20" s="48"/>
      <c r="J20" s="136">
        <f>'Exhibit 6.3'!D32</f>
        <v>31692.097286645905</v>
      </c>
      <c r="K20" s="136"/>
      <c r="L20" s="49">
        <f t="shared" si="2"/>
        <v>-6.4425221598748195E-2</v>
      </c>
      <c r="M20" s="49"/>
      <c r="N20" s="136">
        <f>INDEX('Exhibit 6.3'!$H$10:$H$43,MATCH($A20,'Exhibit 6.3'!$B$10:$B$43,0))*$J20</f>
        <v>28267.972898943164</v>
      </c>
      <c r="O20" s="49"/>
      <c r="P20" s="49">
        <f t="shared" si="3"/>
        <v>-1.3051596343200633E-2</v>
      </c>
      <c r="Q20" s="48"/>
    </row>
    <row r="21" spans="1:21">
      <c r="A21" s="285">
        <f t="shared" si="4"/>
        <v>2013</v>
      </c>
      <c r="B21" s="401">
        <v>31732.825012365745</v>
      </c>
      <c r="C21" s="136"/>
      <c r="D21" s="49">
        <f t="shared" si="0"/>
        <v>-7.8510576286275557E-2</v>
      </c>
      <c r="E21" s="49"/>
      <c r="F21" s="136">
        <f>INDEX('Exhibit 6.3'!$H$10:$H$43,MATCH($A21,'Exhibit 6.3'!$B$10:$B$43,0))*$B21</f>
        <v>30869.022090967464</v>
      </c>
      <c r="G21" s="49"/>
      <c r="H21" s="49">
        <f t="shared" si="1"/>
        <v>4.9878328153554197E-3</v>
      </c>
      <c r="I21" s="48"/>
      <c r="J21" s="136">
        <f>'Exhibit 6.3'!D33</f>
        <v>29038.813026062835</v>
      </c>
      <c r="K21" s="136"/>
      <c r="L21" s="49">
        <f t="shared" si="2"/>
        <v>-8.372069025867479E-2</v>
      </c>
      <c r="M21" s="49"/>
      <c r="N21" s="136">
        <f>INDEX('Exhibit 6.3'!$H$10:$H$43,MATCH($A21,'Exhibit 6.3'!$B$10:$B$43,0))*$J21</f>
        <v>28248.34411835995</v>
      </c>
      <c r="O21" s="49"/>
      <c r="P21" s="49">
        <f t="shared" si="3"/>
        <v>-6.9438231929064287E-4</v>
      </c>
      <c r="Q21" s="48"/>
    </row>
    <row r="22" spans="1:21">
      <c r="A22" s="285">
        <f t="shared" si="4"/>
        <v>2014</v>
      </c>
      <c r="B22" s="401">
        <v>30921.134630930901</v>
      </c>
      <c r="C22" s="136"/>
      <c r="D22" s="49">
        <f t="shared" si="0"/>
        <v>-2.5578888142437473E-2</v>
      </c>
      <c r="E22" s="49"/>
      <c r="F22" s="136">
        <f>INDEX('Exhibit 6.3'!$H$10:$H$43,MATCH($A22,'Exhibit 6.3'!$B$10:$B$43,0))*$B22</f>
        <v>32005.825456220642</v>
      </c>
      <c r="G22" s="49"/>
      <c r="H22" s="49">
        <f t="shared" si="1"/>
        <v>3.6826672445377406E-2</v>
      </c>
      <c r="I22" s="48"/>
      <c r="J22" s="136">
        <f>'Exhibit 6.3'!D34</f>
        <v>28312.511767719672</v>
      </c>
      <c r="K22" s="136"/>
      <c r="L22" s="49">
        <f t="shared" si="2"/>
        <v>-2.5011396219648985E-2</v>
      </c>
      <c r="M22" s="49"/>
      <c r="N22" s="136">
        <f>INDEX('Exhibit 6.3'!$H$10:$H$43,MATCH($A22,'Exhibit 6.3'!$B$10:$B$43,0))*$J22</f>
        <v>29305.694007695864</v>
      </c>
      <c r="O22" s="49"/>
      <c r="P22" s="49">
        <f t="shared" si="3"/>
        <v>3.743050866647768E-2</v>
      </c>
      <c r="Q22" s="48"/>
    </row>
    <row r="23" spans="1:21">
      <c r="A23" s="285">
        <f t="shared" si="4"/>
        <v>2015</v>
      </c>
      <c r="B23" s="401">
        <v>29888.501383319057</v>
      </c>
      <c r="C23" s="136"/>
      <c r="D23" s="49">
        <f t="shared" si="0"/>
        <v>-3.339571008428921E-2</v>
      </c>
      <c r="E23" s="49"/>
      <c r="F23" s="136">
        <f>INDEX('Exhibit 6.3'!$H$10:$H$43,MATCH($A23,'Exhibit 6.3'!$B$10:$B$43,0))*$B23</f>
        <v>31666.890002841839</v>
      </c>
      <c r="G23" s="49"/>
      <c r="H23" s="49">
        <f t="shared" si="1"/>
        <v>-1.0589805091651749E-2</v>
      </c>
      <c r="I23" s="48"/>
      <c r="J23" s="136">
        <f>'Exhibit 6.3'!D35</f>
        <v>27460.285168170256</v>
      </c>
      <c r="K23" s="136"/>
      <c r="L23" s="49">
        <f t="shared" si="2"/>
        <v>-3.0100706236918073E-2</v>
      </c>
      <c r="M23" s="49"/>
      <c r="N23" s="136">
        <f>INDEX('Exhibit 6.3'!$H$10:$H$43,MATCH($A23,'Exhibit 6.3'!$B$10:$B$43,0))*$J23</f>
        <v>29094.193071601621</v>
      </c>
      <c r="O23" s="49"/>
      <c r="P23" s="49">
        <f t="shared" si="3"/>
        <v>-7.2170594574112457E-3</v>
      </c>
      <c r="Q23" s="48"/>
    </row>
    <row r="24" spans="1:21">
      <c r="A24" s="285">
        <f t="shared" si="4"/>
        <v>2016</v>
      </c>
      <c r="B24" s="401">
        <v>28884.306665861459</v>
      </c>
      <c r="C24" s="136"/>
      <c r="D24" s="49">
        <f t="shared" si="0"/>
        <v>-3.3598028371474187E-2</v>
      </c>
      <c r="E24" s="49"/>
      <c r="F24" s="136">
        <f>INDEX('Exhibit 6.3'!$H$10:$H$43,MATCH($A24,'Exhibit 6.3'!$B$10:$B$43,0))*$B24</f>
        <v>30634.191809735938</v>
      </c>
      <c r="G24" s="49"/>
      <c r="H24" s="49">
        <f>F24/F23-1</f>
        <v>-3.2611291889201199E-2</v>
      </c>
      <c r="I24" s="48"/>
      <c r="J24" s="136">
        <f>'Exhibit 6.3'!D36</f>
        <v>26626.686968546048</v>
      </c>
      <c r="K24" s="136"/>
      <c r="L24" s="49">
        <f>J24/J23-1</f>
        <v>-3.0356501927024659E-2</v>
      </c>
      <c r="M24" s="49"/>
      <c r="N24" s="136">
        <f>INDEX('Exhibit 6.3'!$H$10:$H$43,MATCH($A24,'Exhibit 6.3'!$B$10:$B$43,0))*$J24</f>
        <v>28239.799739292393</v>
      </c>
      <c r="O24" s="49"/>
      <c r="P24" s="49">
        <f>N24/N23-1</f>
        <v>-2.9366455711850925E-2</v>
      </c>
      <c r="Q24" s="48"/>
    </row>
    <row r="25" spans="1:21">
      <c r="A25" s="285">
        <f t="shared" si="4"/>
        <v>2017</v>
      </c>
      <c r="B25" s="401">
        <v>29144.404878468747</v>
      </c>
      <c r="C25" s="136"/>
      <c r="D25" s="49">
        <f t="shared" si="0"/>
        <v>9.004827971678564E-3</v>
      </c>
      <c r="E25" s="49"/>
      <c r="F25" s="136">
        <f>INDEX('Exhibit 6.3'!$H$10:$H$43,MATCH($A25,'Exhibit 6.3'!$B$10:$B$43,0))*$B25</f>
        <v>30910.171077718322</v>
      </c>
      <c r="G25" s="49"/>
      <c r="H25" s="49">
        <f t="shared" ref="H25:H31" si="5">F25/F24-1</f>
        <v>9.0088640071344095E-3</v>
      </c>
      <c r="I25" s="48"/>
      <c r="J25" s="136">
        <f>'Exhibit 6.3'!D37</f>
        <v>26891.319526565865</v>
      </c>
      <c r="K25" s="136"/>
      <c r="L25" s="49">
        <f>J25/J24-1</f>
        <v>9.9386212912040417E-3</v>
      </c>
      <c r="M25" s="49"/>
      <c r="N25" s="136">
        <f>INDEX('Exhibit 6.3'!$H$10:$H$43,MATCH($A25,'Exhibit 6.3'!$B$10:$B$43,0))*$J25</f>
        <v>28520.578496554648</v>
      </c>
      <c r="O25" s="49"/>
      <c r="P25" s="49">
        <f t="shared" ref="P25:P31" si="6">N25/N24-1</f>
        <v>9.942661061848268E-3</v>
      </c>
      <c r="Q25" s="48"/>
    </row>
    <row r="26" spans="1:21">
      <c r="A26" s="285">
        <f t="shared" si="4"/>
        <v>2018</v>
      </c>
      <c r="B26" s="401">
        <v>30536.671911288075</v>
      </c>
      <c r="C26" s="136"/>
      <c r="D26" s="49">
        <f t="shared" si="0"/>
        <v>4.7771331705863895E-2</v>
      </c>
      <c r="E26" s="49"/>
      <c r="F26" s="136">
        <f>INDEX('Exhibit 6.3'!$H$10:$H$43,MATCH($A26,'Exhibit 6.3'!$B$10:$B$43,0))*$B26</f>
        <v>32289.856962754817</v>
      </c>
      <c r="G26" s="49"/>
      <c r="H26" s="49">
        <f t="shared" si="5"/>
        <v>4.463533642591333E-2</v>
      </c>
      <c r="I26" s="48"/>
      <c r="J26" s="136">
        <f>'Exhibit 6.3'!D38</f>
        <v>28199.704036722498</v>
      </c>
      <c r="K26" s="136"/>
      <c r="L26" s="49">
        <f t="shared" ref="L26:L31" si="7">J26/J25-1</f>
        <v>4.8654529907470101E-2</v>
      </c>
      <c r="M26" s="49"/>
      <c r="N26" s="136">
        <f>INDEX('Exhibit 6.3'!$H$10:$H$43,MATCH($A26,'Exhibit 6.3'!$B$10:$B$43,0))*$J26</f>
        <v>29818.718044424255</v>
      </c>
      <c r="O26" s="49"/>
      <c r="P26" s="49">
        <f t="shared" si="6"/>
        <v>4.5515891202081438E-2</v>
      </c>
      <c r="Q26" s="48"/>
    </row>
    <row r="27" spans="1:21">
      <c r="A27" s="336">
        <f t="shared" si="4"/>
        <v>2019</v>
      </c>
      <c r="B27" s="401">
        <v>31356.428347606528</v>
      </c>
      <c r="C27" s="136"/>
      <c r="D27" s="49">
        <f t="shared" si="0"/>
        <v>2.6844982933959649E-2</v>
      </c>
      <c r="E27" s="49"/>
      <c r="F27" s="136">
        <f>INDEX('Exhibit 6.3'!$H$10:$H$43,MATCH($A27,'Exhibit 6.3'!$B$10:$B$43,0))*$B27</f>
        <v>32795.014205204978</v>
      </c>
      <c r="G27" s="49"/>
      <c r="H27" s="49">
        <f t="shared" si="5"/>
        <v>1.5644455874575192E-2</v>
      </c>
      <c r="I27" s="48"/>
      <c r="J27" s="136">
        <f>'Exhibit 6.3'!D39</f>
        <v>28979.307185998918</v>
      </c>
      <c r="K27" s="136"/>
      <c r="L27" s="49">
        <f t="shared" si="7"/>
        <v>2.7645791894170157E-2</v>
      </c>
      <c r="M27" s="49"/>
      <c r="N27" s="136">
        <f>INDEX('Exhibit 6.3'!$H$10:$H$43,MATCH($A27,'Exhibit 6.3'!$B$10:$B$43,0))*$J27</f>
        <v>30308.834293443259</v>
      </c>
      <c r="O27" s="49"/>
      <c r="P27" s="49">
        <f t="shared" si="6"/>
        <v>1.6436529843061098E-2</v>
      </c>
      <c r="Q27" s="48"/>
    </row>
    <row r="28" spans="1:21">
      <c r="A28" s="336">
        <f t="shared" si="4"/>
        <v>2020</v>
      </c>
      <c r="B28" s="401">
        <v>33104.418177643034</v>
      </c>
      <c r="C28" s="136"/>
      <c r="D28" s="49">
        <f t="shared" si="0"/>
        <v>5.5745820622773001E-2</v>
      </c>
      <c r="E28" s="49"/>
      <c r="F28" s="136">
        <f>INDEX('Exhibit 6.3'!$H$10:$H$43,MATCH($A28,'Exhibit 6.3'!$B$10:$B$43,0))*$B28</f>
        <v>34177.659218832916</v>
      </c>
      <c r="G28" s="49"/>
      <c r="H28" s="49">
        <f t="shared" si="5"/>
        <v>4.2160219994919146E-2</v>
      </c>
      <c r="I28" s="48"/>
      <c r="J28" s="136">
        <f>'Exhibit 6.3'!D40</f>
        <v>30716.716981629383</v>
      </c>
      <c r="K28" s="136"/>
      <c r="L28" s="49">
        <f t="shared" si="7"/>
        <v>5.9953462119683776E-2</v>
      </c>
      <c r="M28" s="49"/>
      <c r="N28" s="136">
        <f>INDEX('Exhibit 6.3'!$H$10:$H$43,MATCH($A28,'Exhibit 6.3'!$B$10:$B$43,0))*$J28</f>
        <v>31712.549052696038</v>
      </c>
      <c r="O28" s="49"/>
      <c r="P28" s="49">
        <f t="shared" si="6"/>
        <v>4.6313716511243275E-2</v>
      </c>
      <c r="Q28" s="48"/>
    </row>
    <row r="29" spans="1:21">
      <c r="A29" s="336">
        <f t="shared" si="4"/>
        <v>2021</v>
      </c>
      <c r="B29" s="401">
        <v>33137.004606858114</v>
      </c>
      <c r="C29" s="136"/>
      <c r="D29" s="49">
        <f t="shared" si="0"/>
        <v>9.843528752029318E-4</v>
      </c>
      <c r="E29" s="49"/>
      <c r="F29" s="136">
        <f>INDEX('Exhibit 6.3'!$H$10:$H$43,MATCH($A29,'Exhibit 6.3'!$B$10:$B$43,0))*$B29</f>
        <v>33872.039745858165</v>
      </c>
      <c r="G29" s="49"/>
      <c r="H29" s="49">
        <f t="shared" si="5"/>
        <v>-8.9420832192728117E-3</v>
      </c>
      <c r="I29" s="48"/>
      <c r="J29" s="136">
        <f>'Exhibit 6.3'!D41</f>
        <v>30650.456519146643</v>
      </c>
      <c r="K29" s="136"/>
      <c r="L29" s="49">
        <f t="shared" si="7"/>
        <v>-2.1571466287353402E-3</v>
      </c>
      <c r="M29" s="49"/>
      <c r="N29" s="136">
        <f>INDEX('Exhibit 6.3'!$H$10:$H$43,MATCH($A29,'Exhibit 6.3'!$B$10:$B$43,0))*$J29</f>
        <v>31330.335791134406</v>
      </c>
      <c r="O29" s="49"/>
      <c r="P29" s="49">
        <f t="shared" si="6"/>
        <v>-1.2052429494914363E-2</v>
      </c>
      <c r="Q29" s="48"/>
      <c r="T29" s="347"/>
      <c r="U29" s="347"/>
    </row>
    <row r="30" spans="1:21">
      <c r="A30" s="336">
        <f t="shared" si="4"/>
        <v>2022</v>
      </c>
      <c r="B30" s="401">
        <v>34163.475902459882</v>
      </c>
      <c r="C30" s="136"/>
      <c r="D30" s="49">
        <f t="shared" si="0"/>
        <v>3.0976586682470719E-2</v>
      </c>
      <c r="E30" s="49"/>
      <c r="F30" s="136">
        <f>INDEX('Exhibit 6.3'!$H$10:$H$43,MATCH($A30,'Exhibit 6.3'!$B$10:$B$43,0))*$B30</f>
        <v>34609.517388522021</v>
      </c>
      <c r="G30" s="49"/>
      <c r="H30" s="49">
        <f t="shared" si="5"/>
        <v>2.1772460359551715E-2</v>
      </c>
      <c r="I30" s="48"/>
      <c r="J30" s="136">
        <f>'Exhibit 6.3'!D42</f>
        <v>31545.084987699283</v>
      </c>
      <c r="K30" s="136"/>
      <c r="L30" s="49">
        <f t="shared" si="7"/>
        <v>2.9188096040063449E-2</v>
      </c>
      <c r="M30" s="49"/>
      <c r="N30" s="136">
        <f>INDEX('Exhibit 6.3'!$H$10:$H$43,MATCH($A30,'Exhibit 6.3'!$B$10:$B$43,0))*$J30</f>
        <v>31956.940520960663</v>
      </c>
      <c r="O30" s="49"/>
      <c r="P30" s="49">
        <f t="shared" si="6"/>
        <v>1.9999936611071023E-2</v>
      </c>
      <c r="Q30" s="48"/>
    </row>
    <row r="31" spans="1:21">
      <c r="A31" s="336">
        <f t="shared" si="4"/>
        <v>2023</v>
      </c>
      <c r="B31" s="401">
        <v>34966.539686269425</v>
      </c>
      <c r="C31" s="136"/>
      <c r="D31" s="49">
        <f t="shared" si="0"/>
        <v>2.3506501097908528E-2</v>
      </c>
      <c r="E31" s="49"/>
      <c r="F31" s="136">
        <f>INDEX('Exhibit 6.3'!$H$10:$H$43,MATCH($A31,'Exhibit 6.3'!$B$10:$B$43,0))*$B31</f>
        <v>35352.361324364669</v>
      </c>
      <c r="G31" s="49"/>
      <c r="H31" s="49">
        <f t="shared" si="5"/>
        <v>2.1463573950008419E-2</v>
      </c>
      <c r="I31" s="48"/>
      <c r="J31" s="136">
        <f>'Exhibit 6.3'!D43</f>
        <v>31972.565392289791</v>
      </c>
      <c r="K31" s="136"/>
      <c r="L31" s="49">
        <f t="shared" si="7"/>
        <v>1.3551410774680139E-2</v>
      </c>
      <c r="M31" s="49"/>
      <c r="N31" s="136">
        <f>INDEX('Exhibit 6.3'!$H$10:$H$43,MATCH($A31,'Exhibit 6.3'!$B$10:$B$43,0))*$J31</f>
        <v>32325.35144616988</v>
      </c>
      <c r="O31" s="49"/>
      <c r="P31" s="49">
        <f t="shared" si="6"/>
        <v>1.1528354066546953E-2</v>
      </c>
      <c r="Q31" s="48"/>
    </row>
    <row r="32" spans="1:21">
      <c r="A32" s="285"/>
      <c r="B32" s="48"/>
      <c r="C32" s="48"/>
      <c r="D32" s="48"/>
      <c r="E32" s="48"/>
      <c r="F32" s="136"/>
      <c r="G32" s="48"/>
      <c r="H32" s="48"/>
      <c r="I32" s="48"/>
      <c r="J32" s="48"/>
      <c r="K32" s="48"/>
      <c r="L32" s="48"/>
      <c r="M32" s="48"/>
      <c r="N32" s="48"/>
      <c r="O32" s="48"/>
      <c r="P32" s="48"/>
      <c r="Q32" s="48"/>
    </row>
    <row r="33" spans="1:17">
      <c r="A33" s="48" t="s">
        <v>218</v>
      </c>
      <c r="B33" s="48"/>
      <c r="C33" s="48"/>
      <c r="D33" s="48"/>
      <c r="E33" s="48"/>
      <c r="F33" s="48"/>
      <c r="G33" s="48"/>
      <c r="H33" s="48"/>
      <c r="I33" s="48"/>
      <c r="J33" s="48"/>
      <c r="K33" s="48"/>
      <c r="L33" s="48"/>
      <c r="M33" s="48"/>
      <c r="N33" s="48"/>
      <c r="O33" s="48"/>
      <c r="P33" s="48"/>
      <c r="Q33" s="48"/>
    </row>
    <row r="34" spans="1:17">
      <c r="A34" s="48" t="s">
        <v>483</v>
      </c>
      <c r="B34" s="48"/>
      <c r="C34" s="48"/>
      <c r="D34" s="48"/>
      <c r="E34" s="48"/>
      <c r="F34" s="48"/>
      <c r="G34" s="48"/>
      <c r="H34" s="315">
        <v>4.4625969490453832E-2</v>
      </c>
      <c r="I34" s="48"/>
      <c r="J34" s="48"/>
      <c r="K34" s="48"/>
      <c r="L34" s="48"/>
      <c r="M34" s="48"/>
      <c r="N34" s="48"/>
      <c r="O34" s="48"/>
      <c r="P34" s="234" t="s">
        <v>255</v>
      </c>
      <c r="Q34" s="48"/>
    </row>
    <row r="35" spans="1:17">
      <c r="A35" s="48" t="s">
        <v>484</v>
      </c>
      <c r="B35" s="48"/>
      <c r="C35" s="48"/>
      <c r="D35" s="49"/>
      <c r="E35" s="49"/>
      <c r="F35" s="54"/>
      <c r="G35" s="49"/>
      <c r="H35" s="287">
        <f>LOGEST(F$13:F$31)-1</f>
        <v>1.4789484914595752E-2</v>
      </c>
      <c r="I35" s="48"/>
      <c r="J35" s="48"/>
      <c r="K35" s="48"/>
      <c r="L35" s="49"/>
      <c r="M35" s="49"/>
      <c r="N35" s="54"/>
      <c r="O35" s="49"/>
      <c r="P35" s="287">
        <f>LOGEST(N$13:N$31)-1</f>
        <v>1.3005496354508317E-2</v>
      </c>
      <c r="Q35" s="48"/>
    </row>
    <row r="36" spans="1:17">
      <c r="A36" s="48" t="s">
        <v>485</v>
      </c>
      <c r="B36" s="48"/>
      <c r="C36" s="48"/>
      <c r="D36" s="49"/>
      <c r="E36" s="49"/>
      <c r="F36" s="54"/>
      <c r="G36" s="49"/>
      <c r="H36" s="287">
        <f>LOGEST(F$27:F$31)-1</f>
        <v>1.6406523125169326E-2</v>
      </c>
      <c r="I36" s="48"/>
      <c r="J36" s="48"/>
      <c r="K36" s="48"/>
      <c r="L36" s="49"/>
      <c r="M36" s="49"/>
      <c r="N36" s="54"/>
      <c r="O36" s="49"/>
      <c r="P36" s="287">
        <f>LOGEST(N$27:N$31)-1</f>
        <v>1.3743794223066041E-2</v>
      </c>
      <c r="Q36" s="48"/>
    </row>
    <row r="37" spans="1:17">
      <c r="A37" s="48"/>
      <c r="B37" s="48"/>
      <c r="C37" s="48"/>
      <c r="D37" s="48"/>
      <c r="E37" s="48"/>
      <c r="F37" s="48"/>
      <c r="G37" s="48"/>
      <c r="H37" s="48"/>
      <c r="I37" s="48"/>
      <c r="J37" s="48"/>
      <c r="K37" s="48"/>
      <c r="L37" s="48"/>
      <c r="M37" s="48"/>
      <c r="N37" s="48"/>
      <c r="O37" s="48"/>
      <c r="P37" s="48"/>
      <c r="Q37" s="48"/>
    </row>
    <row r="38" spans="1:17">
      <c r="A38" s="48"/>
      <c r="B38" s="48"/>
      <c r="C38" s="48"/>
      <c r="D38" s="48"/>
      <c r="E38" s="48"/>
      <c r="F38" s="48"/>
      <c r="G38" s="48"/>
      <c r="H38" s="48"/>
      <c r="I38" s="48" t="s">
        <v>199</v>
      </c>
      <c r="J38" s="48"/>
      <c r="K38" s="48"/>
      <c r="L38" s="48"/>
      <c r="M38" s="48"/>
      <c r="N38" s="54"/>
      <c r="O38" s="48"/>
      <c r="P38" s="315">
        <v>0.02</v>
      </c>
      <c r="Q38" s="48"/>
    </row>
    <row r="39" spans="1:17" ht="12.75" customHeight="1">
      <c r="A39" s="48"/>
      <c r="B39" s="48"/>
      <c r="C39" s="48"/>
      <c r="D39" s="48"/>
      <c r="E39" s="48"/>
      <c r="F39" s="48"/>
      <c r="G39" s="48"/>
      <c r="H39" s="48"/>
      <c r="I39" s="48"/>
      <c r="J39" s="48"/>
      <c r="K39" s="48"/>
      <c r="L39" s="48"/>
      <c r="M39" s="48"/>
      <c r="N39" s="48"/>
      <c r="O39" s="48"/>
      <c r="P39" s="48"/>
      <c r="Q39" s="48"/>
    </row>
    <row r="40" spans="1:17" ht="12.75" customHeight="1">
      <c r="A40" s="235" t="s">
        <v>324</v>
      </c>
      <c r="B40" s="236"/>
      <c r="C40" s="236"/>
      <c r="D40" s="236"/>
      <c r="E40" s="236"/>
      <c r="F40" s="236"/>
      <c r="G40" s="236"/>
      <c r="H40" s="236"/>
      <c r="I40" s="236"/>
      <c r="J40" s="236"/>
      <c r="K40" s="236"/>
      <c r="L40" s="236"/>
      <c r="M40" s="236"/>
      <c r="N40" s="236"/>
      <c r="O40" s="236"/>
      <c r="P40" s="236"/>
      <c r="Q40" s="236"/>
    </row>
    <row r="41" spans="1:17" ht="12.75" customHeight="1">
      <c r="A41" s="235" t="s">
        <v>325</v>
      </c>
      <c r="B41" s="236"/>
      <c r="C41" s="236"/>
      <c r="D41" s="236"/>
      <c r="E41" s="236"/>
      <c r="F41" s="236"/>
      <c r="G41" s="236"/>
      <c r="H41" s="236"/>
      <c r="I41" s="236"/>
      <c r="J41" s="236"/>
      <c r="K41" s="236"/>
      <c r="L41" s="236"/>
      <c r="M41" s="236"/>
      <c r="N41" s="236"/>
      <c r="O41" s="236"/>
      <c r="P41" s="236"/>
      <c r="Q41" s="236"/>
    </row>
    <row r="42" spans="1:17" ht="12.75" customHeight="1">
      <c r="A42" s="235" t="s">
        <v>262</v>
      </c>
      <c r="B42" s="236"/>
      <c r="C42" s="236"/>
      <c r="D42" s="236"/>
      <c r="E42" s="236"/>
      <c r="F42" s="236"/>
      <c r="G42" s="236"/>
      <c r="H42" s="236"/>
      <c r="I42" s="236"/>
      <c r="J42" s="236"/>
      <c r="K42" s="236"/>
      <c r="L42" s="236"/>
      <c r="M42" s="236"/>
      <c r="N42" s="236"/>
      <c r="O42" s="236"/>
      <c r="P42" s="236"/>
      <c r="Q42" s="236"/>
    </row>
    <row r="43" spans="1:17" ht="12.75" customHeight="1">
      <c r="A43" s="237" t="s">
        <v>326</v>
      </c>
      <c r="B43" s="237"/>
      <c r="C43" s="237"/>
      <c r="D43" s="237"/>
      <c r="E43" s="237"/>
      <c r="F43" s="237"/>
      <c r="G43" s="237"/>
      <c r="H43" s="237"/>
      <c r="I43" s="237"/>
      <c r="J43" s="237"/>
      <c r="K43" s="237"/>
      <c r="L43" s="237"/>
      <c r="M43" s="237"/>
      <c r="N43" s="237"/>
      <c r="O43" s="237"/>
      <c r="P43" s="237"/>
      <c r="Q43" s="237"/>
    </row>
    <row r="44" spans="1:17">
      <c r="A44" s="48"/>
      <c r="B44" s="48"/>
      <c r="C44" s="48"/>
      <c r="D44" s="48"/>
      <c r="E44" s="48"/>
      <c r="F44" s="48"/>
      <c r="G44" s="48"/>
      <c r="H44" s="48"/>
      <c r="I44" s="48"/>
      <c r="J44" s="48"/>
      <c r="K44" s="48"/>
      <c r="L44" s="48"/>
      <c r="M44" s="48"/>
      <c r="N44" s="48"/>
      <c r="O44" s="48"/>
      <c r="P44" s="48"/>
      <c r="Q44" s="48"/>
    </row>
    <row r="45" spans="1:17">
      <c r="A45" s="323" t="s">
        <v>371</v>
      </c>
      <c r="B45" s="48"/>
      <c r="C45" s="48"/>
      <c r="D45" s="48"/>
      <c r="E45" s="48"/>
      <c r="F45" s="48"/>
      <c r="G45" s="48"/>
      <c r="H45" s="48"/>
      <c r="I45" s="48"/>
      <c r="J45" s="48"/>
      <c r="K45" s="48"/>
      <c r="L45" s="48"/>
      <c r="M45" s="48"/>
      <c r="N45" s="48"/>
      <c r="O45" s="48"/>
      <c r="P45" s="48"/>
      <c r="Q45" s="48"/>
    </row>
  </sheetData>
  <mergeCells count="4">
    <mergeCell ref="B7:H7"/>
    <mergeCell ref="J5:P5"/>
    <mergeCell ref="J6:P6"/>
    <mergeCell ref="J7:P7"/>
  </mergeCells>
  <printOptions horizontalCentered="1"/>
  <pageMargins left="0.5" right="0.5" top="0.75" bottom="0.75" header="0.33" footer="0.33"/>
  <pageSetup scale="73" orientation="portrait" blackAndWhite="1" horizontalDpi="1200" verticalDpi="1200" r:id="rId1"/>
  <headerFooter scaleWithDoc="0">
    <oddHeader>&amp;R&amp;"Arial,Regular"&amp;10Exhibit 6.4</oddHeader>
  </headerFooter>
  <ignoredErrors>
    <ignoredError sqref="A8:P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Q55"/>
  <sheetViews>
    <sheetView zoomScaleNormal="100" zoomScaleSheetLayoutView="85" workbookViewId="0"/>
  </sheetViews>
  <sheetFormatPr defaultColWidth="9.140625" defaultRowHeight="12.75"/>
  <cols>
    <col min="1" max="1" width="9.140625" style="53"/>
    <col min="2" max="2" width="5.85546875" style="53" customWidth="1"/>
    <col min="3" max="3" width="17.85546875" style="53" customWidth="1"/>
    <col min="4" max="4" width="5.85546875" style="53" customWidth="1"/>
    <col min="5" max="5" width="17.85546875" style="53" customWidth="1"/>
    <col min="6" max="6" width="5.85546875" style="53" customWidth="1"/>
    <col min="7" max="7" width="17.85546875" style="53" customWidth="1"/>
    <col min="8" max="8" width="5.85546875" style="53" customWidth="1"/>
    <col min="9" max="9" width="17.85546875" style="53" customWidth="1"/>
    <col min="10" max="10" width="1.5703125" style="53" customWidth="1"/>
    <col min="11" max="11" width="9.140625" style="53"/>
    <col min="12" max="12" width="21.5703125" style="53" customWidth="1"/>
    <col min="13" max="13" width="21.140625" style="53" customWidth="1"/>
    <col min="14" max="15" width="9.140625" style="53"/>
    <col min="16" max="16" width="21.5703125" style="53" customWidth="1"/>
    <col min="17" max="17" width="21.140625" style="53" customWidth="1"/>
    <col min="18" max="16384" width="9.140625" style="53"/>
  </cols>
  <sheetData>
    <row r="1" spans="1:17">
      <c r="A1" s="238" t="s">
        <v>200</v>
      </c>
      <c r="B1" s="162"/>
      <c r="C1" s="162"/>
      <c r="D1" s="162"/>
      <c r="E1" s="162"/>
      <c r="F1" s="162"/>
      <c r="G1" s="162"/>
      <c r="H1" s="162"/>
      <c r="I1" s="162"/>
      <c r="J1" s="239"/>
      <c r="K1" s="54"/>
      <c r="L1" s="54"/>
      <c r="M1" s="54"/>
      <c r="N1" s="54"/>
      <c r="O1" s="54"/>
      <c r="P1" s="54"/>
      <c r="Q1" s="54"/>
    </row>
    <row r="2" spans="1:17">
      <c r="A2" s="99" t="s">
        <v>342</v>
      </c>
      <c r="B2" s="162"/>
      <c r="C2" s="162"/>
      <c r="D2" s="162"/>
      <c r="E2" s="162"/>
      <c r="F2" s="162"/>
      <c r="G2" s="162"/>
      <c r="H2" s="162"/>
      <c r="I2" s="162"/>
      <c r="J2" s="214"/>
      <c r="K2" s="54"/>
      <c r="L2" s="54"/>
      <c r="M2" s="54"/>
      <c r="N2" s="54"/>
      <c r="O2" s="54"/>
      <c r="P2" s="54"/>
      <c r="Q2" s="54"/>
    </row>
    <row r="3" spans="1:17">
      <c r="A3" s="99" t="s">
        <v>492</v>
      </c>
      <c r="B3" s="162"/>
      <c r="C3" s="162"/>
      <c r="D3" s="162"/>
      <c r="E3" s="162"/>
      <c r="F3" s="162"/>
      <c r="G3" s="162"/>
      <c r="H3" s="162"/>
      <c r="I3" s="162"/>
      <c r="J3" s="214"/>
      <c r="K3" s="54"/>
      <c r="L3" s="54"/>
      <c r="M3" s="54"/>
      <c r="N3" s="54"/>
      <c r="O3" s="54"/>
      <c r="P3" s="54"/>
      <c r="Q3" s="54"/>
    </row>
    <row r="4" spans="1:17">
      <c r="A4" s="28"/>
      <c r="B4" s="28"/>
      <c r="C4" s="28"/>
      <c r="D4" s="28"/>
      <c r="E4" s="28"/>
      <c r="F4" s="28"/>
      <c r="G4" s="28"/>
      <c r="H4" s="28"/>
      <c r="I4" s="28"/>
      <c r="J4" s="28"/>
      <c r="K4" s="54"/>
      <c r="L4" s="54"/>
      <c r="M4" s="54"/>
      <c r="N4" s="54"/>
      <c r="O4" s="54"/>
      <c r="P4" s="54"/>
      <c r="Q4" s="54"/>
    </row>
    <row r="5" spans="1:17">
      <c r="A5" s="28"/>
      <c r="B5" s="28"/>
      <c r="C5" s="29" t="s">
        <v>38</v>
      </c>
      <c r="D5" s="29"/>
      <c r="E5" s="29" t="s">
        <v>39</v>
      </c>
      <c r="F5" s="29"/>
      <c r="G5" s="29" t="s">
        <v>40</v>
      </c>
      <c r="H5" s="29"/>
      <c r="I5" s="28" t="s">
        <v>41</v>
      </c>
      <c r="J5" s="29"/>
      <c r="K5" s="54"/>
      <c r="L5" s="54"/>
      <c r="M5" s="54"/>
      <c r="N5" s="54"/>
      <c r="O5" s="54"/>
      <c r="P5" s="54"/>
      <c r="Q5" s="54"/>
    </row>
    <row r="6" spans="1:17">
      <c r="A6" s="313" t="s">
        <v>46</v>
      </c>
      <c r="B6" s="123"/>
      <c r="C6" s="28" t="s">
        <v>202</v>
      </c>
      <c r="D6" s="123"/>
      <c r="E6" s="313" t="s">
        <v>203</v>
      </c>
      <c r="F6" s="123"/>
      <c r="G6" s="313" t="s">
        <v>204</v>
      </c>
      <c r="H6" s="123"/>
      <c r="I6" s="28" t="s">
        <v>201</v>
      </c>
      <c r="J6" s="123"/>
      <c r="K6" s="54"/>
      <c r="L6" s="54"/>
      <c r="M6" s="54"/>
      <c r="N6" s="54"/>
      <c r="O6" s="54"/>
      <c r="P6" s="54"/>
      <c r="Q6" s="54"/>
    </row>
    <row r="7" spans="1:17">
      <c r="A7" s="30" t="s">
        <v>8</v>
      </c>
      <c r="B7" s="30"/>
      <c r="C7" s="30" t="s">
        <v>256</v>
      </c>
      <c r="D7" s="30"/>
      <c r="E7" s="30" t="s">
        <v>257</v>
      </c>
      <c r="F7" s="30"/>
      <c r="G7" s="30" t="s">
        <v>258</v>
      </c>
      <c r="H7" s="30"/>
      <c r="I7" s="30" t="s">
        <v>205</v>
      </c>
      <c r="J7" s="28"/>
      <c r="K7" s="54"/>
      <c r="L7" s="54"/>
      <c r="M7" s="54"/>
      <c r="N7" s="54"/>
      <c r="O7" s="54"/>
      <c r="P7" s="54"/>
      <c r="Q7" s="54"/>
    </row>
    <row r="8" spans="1:17">
      <c r="A8" s="28"/>
      <c r="B8" s="28"/>
      <c r="C8" s="240"/>
      <c r="D8" s="240"/>
      <c r="E8" s="240"/>
      <c r="F8" s="240"/>
      <c r="G8" s="240"/>
      <c r="H8" s="28"/>
      <c r="I8" s="28" t="s">
        <v>206</v>
      </c>
      <c r="J8" s="28"/>
      <c r="K8" s="54"/>
      <c r="L8" s="54"/>
      <c r="M8" s="54"/>
      <c r="N8" s="54"/>
      <c r="O8" s="54"/>
      <c r="P8" s="54"/>
      <c r="Q8" s="54"/>
    </row>
    <row r="9" spans="1:17">
      <c r="A9" s="28">
        <v>1987</v>
      </c>
      <c r="B9" s="28"/>
      <c r="C9" s="23">
        <f>+SUMIFS('Exhibit 3.2'!G:G,'Exhibit 3.2'!B:B,$A9)</f>
        <v>0.34775942189763531</v>
      </c>
      <c r="D9" s="240"/>
      <c r="E9" s="23">
        <f>+SUMIFS('Exhibit 4.1'!L:L,'Exhibit 4.1'!B:B,$A9)</f>
        <v>1.786790078649235</v>
      </c>
      <c r="F9" s="240"/>
      <c r="G9" s="23">
        <f>SUMIFS('Exhibit 5.2'!S:S,'Exhibit 5.2'!A:A,A9)</f>
        <v>1.6538282005305278</v>
      </c>
      <c r="H9" s="28"/>
      <c r="I9" s="23">
        <f t="shared" ref="I9:I38" si="0">C9*E9/G9</f>
        <v>0.37571803685785465</v>
      </c>
      <c r="J9" s="28"/>
      <c r="K9" s="54"/>
      <c r="L9" s="54"/>
      <c r="M9" s="54"/>
      <c r="N9" s="54"/>
      <c r="O9" s="54"/>
      <c r="P9" s="54"/>
      <c r="Q9" s="54"/>
    </row>
    <row r="10" spans="1:17">
      <c r="A10" s="28">
        <f>A9+1</f>
        <v>1988</v>
      </c>
      <c r="B10" s="20"/>
      <c r="C10" s="23">
        <f>+SUMIFS('Exhibit 3.2'!G:G,'Exhibit 3.2'!B:B,$A10)</f>
        <v>0.33278586795963183</v>
      </c>
      <c r="D10" s="20"/>
      <c r="E10" s="23">
        <f>+SUMIFS('Exhibit 4.1'!L:L,'Exhibit 4.1'!B:B,$A10)</f>
        <v>1.7603843139401332</v>
      </c>
      <c r="F10" s="20"/>
      <c r="G10" s="23">
        <f>SUMIFS('Exhibit 5.2'!S:S,'Exhibit 5.2'!A:A,A10)</f>
        <v>1.4492468451232938</v>
      </c>
      <c r="H10" s="20"/>
      <c r="I10" s="23">
        <f t="shared" si="0"/>
        <v>0.404231359087243</v>
      </c>
      <c r="J10" s="20"/>
      <c r="K10" s="54"/>
      <c r="L10" s="54"/>
      <c r="M10" s="54"/>
      <c r="N10" s="54"/>
      <c r="O10" s="54"/>
      <c r="P10" s="54"/>
      <c r="Q10" s="54"/>
    </row>
    <row r="11" spans="1:17">
      <c r="A11" s="28">
        <f t="shared" ref="A11:A45" si="1">A10+1</f>
        <v>1989</v>
      </c>
      <c r="B11" s="20"/>
      <c r="C11" s="23">
        <f>+SUMIFS('Exhibit 3.2'!G:G,'Exhibit 3.2'!B:B,$A11)</f>
        <v>0.34532274131559826</v>
      </c>
      <c r="D11" s="20"/>
      <c r="E11" s="23">
        <f>+SUMIFS('Exhibit 4.1'!L:L,'Exhibit 4.1'!B:B,$A11)</f>
        <v>1.7343687822070279</v>
      </c>
      <c r="F11" s="20"/>
      <c r="G11" s="23">
        <f>SUMIFS('Exhibit 5.2'!S:S,'Exhibit 5.2'!A:A,A11)</f>
        <v>1.3939820307561253</v>
      </c>
      <c r="H11" s="20"/>
      <c r="I11" s="23">
        <f t="shared" si="0"/>
        <v>0.42964469348221185</v>
      </c>
      <c r="J11" s="20"/>
      <c r="K11" s="54"/>
      <c r="L11" s="54"/>
      <c r="M11" s="54"/>
      <c r="N11" s="54"/>
      <c r="O11" s="54"/>
      <c r="P11" s="54"/>
      <c r="Q11" s="54"/>
    </row>
    <row r="12" spans="1:17">
      <c r="A12" s="28">
        <f t="shared" si="1"/>
        <v>1990</v>
      </c>
      <c r="B12" s="20"/>
      <c r="C12" s="23">
        <f>+SUMIFS('Exhibit 3.2'!G:G,'Exhibit 3.2'!B:B,$A12)</f>
        <v>0.40081641341723895</v>
      </c>
      <c r="D12" s="20"/>
      <c r="E12" s="23">
        <f>+SUMIFS('Exhibit 4.1'!L:L,'Exhibit 4.1'!B:B,$A12)</f>
        <v>1.3903549202117458</v>
      </c>
      <c r="F12" s="20"/>
      <c r="G12" s="23">
        <f>SUMIFS('Exhibit 5.2'!S:S,'Exhibit 5.2'!A:A,A12)</f>
        <v>1.2958571917105428</v>
      </c>
      <c r="H12" s="20"/>
      <c r="I12" s="23">
        <f t="shared" si="0"/>
        <v>0.43004512847644327</v>
      </c>
      <c r="J12" s="20"/>
      <c r="K12" s="54"/>
      <c r="L12" s="54"/>
      <c r="M12" s="54"/>
      <c r="N12" s="54"/>
      <c r="O12" s="54"/>
      <c r="P12" s="54"/>
      <c r="Q12" s="54"/>
    </row>
    <row r="13" spans="1:17">
      <c r="A13" s="28">
        <f t="shared" si="1"/>
        <v>1991</v>
      </c>
      <c r="B13" s="20"/>
      <c r="C13" s="23">
        <f>+SUMIFS('Exhibit 3.2'!G:G,'Exhibit 3.2'!B:B,$A13)</f>
        <v>0.427878510676242</v>
      </c>
      <c r="D13" s="20"/>
      <c r="E13" s="23">
        <f>+SUMIFS('Exhibit 4.1'!L:L,'Exhibit 4.1'!B:B,$A13)</f>
        <v>1.1453751850550569</v>
      </c>
      <c r="F13" s="20"/>
      <c r="G13" s="23">
        <f>SUMIFS('Exhibit 5.2'!S:S,'Exhibit 5.2'!A:A,A13)</f>
        <v>1.1729150507488251</v>
      </c>
      <c r="H13" s="20"/>
      <c r="I13" s="23">
        <f t="shared" si="0"/>
        <v>0.41783198879918859</v>
      </c>
      <c r="J13" s="20"/>
      <c r="K13" s="54"/>
      <c r="L13" s="54"/>
      <c r="M13" s="54"/>
      <c r="N13" s="54"/>
      <c r="O13" s="54"/>
      <c r="P13" s="54"/>
      <c r="Q13" s="54"/>
    </row>
    <row r="14" spans="1:17">
      <c r="A14" s="28">
        <f t="shared" si="1"/>
        <v>1992</v>
      </c>
      <c r="B14" s="20"/>
      <c r="C14" s="23">
        <f>+SUMIFS('Exhibit 3.2'!G:G,'Exhibit 3.2'!B:B,$A14)</f>
        <v>0.35241502824968318</v>
      </c>
      <c r="D14" s="20"/>
      <c r="E14" s="23">
        <f>+SUMIFS('Exhibit 4.1'!L:L,'Exhibit 4.1'!B:B,$A14)</f>
        <v>1.2076384946277805</v>
      </c>
      <c r="F14" s="20"/>
      <c r="G14" s="23">
        <f>SUMIFS('Exhibit 5.2'!S:S,'Exhibit 5.2'!A:A,A14)</f>
        <v>1.0665338360994496</v>
      </c>
      <c r="H14" s="20"/>
      <c r="I14" s="23">
        <f t="shared" si="0"/>
        <v>0.39904027401149389</v>
      </c>
      <c r="J14" s="20"/>
      <c r="K14" s="54"/>
      <c r="L14" s="54"/>
      <c r="M14" s="54"/>
      <c r="N14" s="54"/>
      <c r="O14" s="54"/>
      <c r="P14" s="54"/>
      <c r="Q14" s="54"/>
    </row>
    <row r="15" spans="1:17">
      <c r="A15" s="28">
        <f t="shared" si="1"/>
        <v>1993</v>
      </c>
      <c r="B15" s="20"/>
      <c r="C15" s="23">
        <f>+SUMIFS('Exhibit 3.2'!G:G,'Exhibit 3.2'!B:B,$A15)</f>
        <v>0.28926234026852582</v>
      </c>
      <c r="D15" s="20"/>
      <c r="E15" s="23">
        <f>+SUMIFS('Exhibit 4.1'!L:L,'Exhibit 4.1'!B:B,$A15)</f>
        <v>1.4657220185809621</v>
      </c>
      <c r="F15" s="20"/>
      <c r="G15" s="23">
        <f>SUMIFS('Exhibit 5.2'!S:S,'Exhibit 5.2'!A:A,A15)</f>
        <v>1.0316522831807937</v>
      </c>
      <c r="H15" s="20"/>
      <c r="I15" s="23">
        <f t="shared" si="0"/>
        <v>0.41097004115633401</v>
      </c>
      <c r="J15" s="20"/>
      <c r="K15" s="54"/>
      <c r="L15" s="54"/>
      <c r="M15" s="54"/>
      <c r="N15" s="54"/>
      <c r="O15" s="54"/>
      <c r="P15" s="54"/>
      <c r="Q15" s="54"/>
    </row>
    <row r="16" spans="1:17">
      <c r="A16" s="28">
        <f t="shared" si="1"/>
        <v>1994</v>
      </c>
      <c r="B16" s="20"/>
      <c r="C16" s="23">
        <f>+SUMIFS('Exhibit 3.2'!G:G,'Exhibit 3.2'!B:B,$A16)</f>
        <v>0.32893676670608951</v>
      </c>
      <c r="D16" s="20"/>
      <c r="E16" s="23">
        <f>+SUMIFS('Exhibit 4.1'!L:L,'Exhibit 4.1'!B:B,$A16)</f>
        <v>1.532214956551003</v>
      </c>
      <c r="F16" s="20"/>
      <c r="G16" s="23">
        <f>SUMIFS('Exhibit 5.2'!S:S,'Exhibit 5.2'!A:A,A16)</f>
        <v>1.165432592696231</v>
      </c>
      <c r="H16" s="20"/>
      <c r="I16" s="23">
        <f t="shared" si="0"/>
        <v>0.43245901724834118</v>
      </c>
      <c r="J16" s="20"/>
      <c r="K16" s="54"/>
      <c r="L16" s="54"/>
      <c r="M16" s="54"/>
      <c r="N16" s="54"/>
      <c r="O16" s="54"/>
      <c r="P16" s="54"/>
      <c r="Q16" s="54"/>
    </row>
    <row r="17" spans="1:17">
      <c r="A17" s="28">
        <f t="shared" si="1"/>
        <v>1995</v>
      </c>
      <c r="B17" s="20"/>
      <c r="C17" s="23">
        <f>+SUMIFS('Exhibit 3.2'!G:G,'Exhibit 3.2'!B:B,$A17)</f>
        <v>0.47435739749148093</v>
      </c>
      <c r="D17" s="20"/>
      <c r="E17" s="23">
        <f>+SUMIFS('Exhibit 4.1'!L:L,'Exhibit 4.1'!B:B,$A17)</f>
        <v>1.4186232664564231</v>
      </c>
      <c r="F17" s="20"/>
      <c r="G17" s="23">
        <f>SUMIFS('Exhibit 5.2'!S:S,'Exhibit 5.2'!A:A,A17)</f>
        <v>1.5305728652948822</v>
      </c>
      <c r="H17" s="20"/>
      <c r="I17" s="23">
        <f t="shared" si="0"/>
        <v>0.43966181287781037</v>
      </c>
      <c r="J17" s="20"/>
      <c r="K17" s="54"/>
      <c r="L17" s="54"/>
      <c r="M17" s="54"/>
      <c r="N17" s="54"/>
      <c r="O17" s="54"/>
      <c r="P17" s="54"/>
      <c r="Q17" s="54"/>
    </row>
    <row r="18" spans="1:17">
      <c r="A18" s="28">
        <f t="shared" si="1"/>
        <v>1996</v>
      </c>
      <c r="B18" s="20"/>
      <c r="C18" s="23">
        <f>+SUMIFS('Exhibit 3.2'!G:G,'Exhibit 3.2'!B:B,$A18)</f>
        <v>0.53265399367488175</v>
      </c>
      <c r="D18" s="20"/>
      <c r="E18" s="23">
        <f>+SUMIFS('Exhibit 4.1'!L:L,'Exhibit 4.1'!B:B,$A18)</f>
        <v>1.3259418609475397</v>
      </c>
      <c r="F18" s="20"/>
      <c r="G18" s="23">
        <f>SUMIFS('Exhibit 5.2'!S:S,'Exhibit 5.2'!A:A,A18)</f>
        <v>1.570762738133141</v>
      </c>
      <c r="H18" s="20"/>
      <c r="I18" s="23">
        <f t="shared" si="0"/>
        <v>0.44963393290944431</v>
      </c>
      <c r="J18" s="20"/>
      <c r="K18" s="54"/>
      <c r="L18" s="54"/>
      <c r="M18" s="54"/>
      <c r="N18" s="54"/>
      <c r="O18" s="54"/>
      <c r="P18" s="54"/>
      <c r="Q18" s="54"/>
    </row>
    <row r="19" spans="1:17">
      <c r="A19" s="28">
        <f t="shared" si="1"/>
        <v>1997</v>
      </c>
      <c r="B19" s="20"/>
      <c r="C19" s="23">
        <f>+SUMIFS('Exhibit 3.2'!G:G,'Exhibit 3.2'!B:B,$A19)</f>
        <v>0.60374890077258991</v>
      </c>
      <c r="D19" s="20"/>
      <c r="E19" s="23">
        <f>+SUMIFS('Exhibit 4.1'!L:L,'Exhibit 4.1'!B:B,$A19)</f>
        <v>1.1872889469551231</v>
      </c>
      <c r="F19" s="20"/>
      <c r="G19" s="23">
        <f>SUMIFS('Exhibit 5.2'!S:S,'Exhibit 5.2'!A:A,A19)</f>
        <v>1.5230302286530704</v>
      </c>
      <c r="H19" s="20"/>
      <c r="I19" s="23">
        <f t="shared" si="0"/>
        <v>0.47065670998371639</v>
      </c>
      <c r="J19" s="20"/>
      <c r="K19" s="54"/>
      <c r="L19" s="54"/>
      <c r="M19" s="54"/>
      <c r="N19" s="54"/>
      <c r="O19" s="54"/>
      <c r="P19" s="54"/>
      <c r="Q19" s="54"/>
    </row>
    <row r="20" spans="1:17">
      <c r="A20" s="28">
        <f t="shared" si="1"/>
        <v>1998</v>
      </c>
      <c r="B20" s="20"/>
      <c r="C20" s="23">
        <f>+SUMIFS('Exhibit 3.2'!G:G,'Exhibit 3.2'!B:B,$A20)</f>
        <v>0.65522071824153216</v>
      </c>
      <c r="D20" s="20"/>
      <c r="E20" s="23">
        <f>+SUMIFS('Exhibit 4.1'!L:L,'Exhibit 4.1'!B:B,$A20)</f>
        <v>1.0951132635611789</v>
      </c>
      <c r="F20" s="20"/>
      <c r="G20" s="23">
        <f>SUMIFS('Exhibit 5.2'!S:S,'Exhibit 5.2'!A:A,A20)</f>
        <v>1.543226129013257</v>
      </c>
      <c r="H20" s="20"/>
      <c r="I20" s="23">
        <f t="shared" si="0"/>
        <v>0.46496160583101426</v>
      </c>
      <c r="J20" s="20"/>
      <c r="K20" s="54"/>
      <c r="L20" s="54"/>
      <c r="M20" s="54"/>
      <c r="N20" s="54"/>
      <c r="O20" s="54"/>
      <c r="P20" s="54"/>
      <c r="Q20" s="54"/>
    </row>
    <row r="21" spans="1:17">
      <c r="A21" s="28">
        <f t="shared" si="1"/>
        <v>1999</v>
      </c>
      <c r="B21" s="20"/>
      <c r="C21" s="23">
        <f>+SUMIFS('Exhibit 3.2'!G:G,'Exhibit 3.2'!B:B,$A21)</f>
        <v>0.6867681355197518</v>
      </c>
      <c r="D21" s="20"/>
      <c r="E21" s="23">
        <f>+SUMIFS('Exhibit 4.1'!L:L,'Exhibit 4.1'!B:B,$A21)</f>
        <v>1.0147482466696804</v>
      </c>
      <c r="F21" s="20"/>
      <c r="G21" s="23">
        <f>SUMIFS('Exhibit 5.2'!S:S,'Exhibit 5.2'!A:A,A21)</f>
        <v>1.4664228492719085</v>
      </c>
      <c r="H21" s="20"/>
      <c r="I21" s="23">
        <f t="shared" si="0"/>
        <v>0.47523588556553714</v>
      </c>
      <c r="J21" s="20"/>
      <c r="K21" s="54"/>
      <c r="L21" s="54"/>
      <c r="M21" s="54"/>
      <c r="N21" s="54"/>
      <c r="O21" s="54"/>
      <c r="P21" s="54"/>
      <c r="Q21" s="54"/>
    </row>
    <row r="22" spans="1:17">
      <c r="A22" s="28">
        <f t="shared" si="1"/>
        <v>2000</v>
      </c>
      <c r="B22" s="20"/>
      <c r="C22" s="23">
        <f>+SUMIFS('Exhibit 3.2'!G:G,'Exhibit 3.2'!B:B,$A22)</f>
        <v>0.59513941754813382</v>
      </c>
      <c r="D22" s="20"/>
      <c r="E22" s="23">
        <f>+SUMIFS('Exhibit 4.1'!L:L,'Exhibit 4.1'!B:B,$A22)</f>
        <v>0.94729249536708571</v>
      </c>
      <c r="F22" s="20"/>
      <c r="G22" s="23">
        <f>SUMIFS('Exhibit 5.2'!S:S,'Exhibit 5.2'!A:A,A22)</f>
        <v>1.160442066798514</v>
      </c>
      <c r="H22" s="20"/>
      <c r="I22" s="23">
        <f t="shared" si="0"/>
        <v>0.48582442852648888</v>
      </c>
      <c r="J22" s="20"/>
      <c r="K22" s="54"/>
      <c r="L22" s="54"/>
      <c r="M22" s="54"/>
      <c r="N22" s="54"/>
      <c r="O22" s="54"/>
      <c r="P22" s="54"/>
      <c r="Q22" s="54"/>
    </row>
    <row r="23" spans="1:17">
      <c r="A23" s="28">
        <f t="shared" si="1"/>
        <v>2001</v>
      </c>
      <c r="B23" s="20"/>
      <c r="C23" s="23">
        <f>+SUMIFS('Exhibit 3.2'!G:G,'Exhibit 3.2'!B:B,$A23)</f>
        <v>0.49402950988467309</v>
      </c>
      <c r="D23" s="20"/>
      <c r="E23" s="23">
        <f>+SUMIFS('Exhibit 4.1'!L:L,'Exhibit 4.1'!B:B,$A23)</f>
        <v>0.9482464312769503</v>
      </c>
      <c r="F23" s="20"/>
      <c r="G23" s="23">
        <f>SUMIFS('Exhibit 5.2'!S:S,'Exhibit 5.2'!A:A,A23)</f>
        <v>0.9907885099356385</v>
      </c>
      <c r="H23" s="20"/>
      <c r="I23" s="23">
        <f t="shared" si="0"/>
        <v>0.47281706943096596</v>
      </c>
      <c r="J23" s="20"/>
      <c r="K23" s="54"/>
      <c r="L23" s="54"/>
      <c r="M23" s="54"/>
      <c r="N23" s="54"/>
      <c r="O23" s="54"/>
      <c r="P23" s="54"/>
      <c r="Q23" s="54"/>
    </row>
    <row r="24" spans="1:17">
      <c r="A24" s="28">
        <f t="shared" si="1"/>
        <v>2002</v>
      </c>
      <c r="B24" s="20"/>
      <c r="C24" s="23">
        <f>+SUMIFS('Exhibit 3.2'!G:G,'Exhibit 3.2'!B:B,$A24)</f>
        <v>0.36869241296945826</v>
      </c>
      <c r="D24" s="20"/>
      <c r="E24" s="23">
        <f>+SUMIFS('Exhibit 4.1'!L:L,'Exhibit 4.1'!B:B,$A24)</f>
        <v>0.97126958893133419</v>
      </c>
      <c r="F24" s="20"/>
      <c r="G24" s="23">
        <f>SUMIFS('Exhibit 5.2'!S:S,'Exhibit 5.2'!A:A,A24)</f>
        <v>0.76264640962590891</v>
      </c>
      <c r="H24" s="20"/>
      <c r="I24" s="23">
        <f t="shared" si="0"/>
        <v>0.46954882874568499</v>
      </c>
      <c r="J24" s="20"/>
      <c r="K24" s="54"/>
      <c r="L24" s="54"/>
      <c r="M24" s="54"/>
      <c r="N24" s="54"/>
      <c r="O24" s="54"/>
      <c r="P24" s="54"/>
      <c r="Q24" s="54"/>
    </row>
    <row r="25" spans="1:17" ht="12.75" customHeight="1">
      <c r="A25" s="28">
        <f t="shared" si="1"/>
        <v>2003</v>
      </c>
      <c r="B25" s="20"/>
      <c r="C25" s="23">
        <f>+SUMIFS('Exhibit 3.2'!G:G,'Exhibit 3.2'!B:B,$A25)</f>
        <v>0.24412509464309168</v>
      </c>
      <c r="D25" s="20"/>
      <c r="E25" s="23">
        <f>+SUMIFS('Exhibit 4.1'!L:L,'Exhibit 4.1'!B:B,$A25)</f>
        <v>0.96826428330248937</v>
      </c>
      <c r="F25" s="20"/>
      <c r="G25" s="23">
        <f>SUMIFS('Exhibit 5.2'!S:S,'Exhibit 5.2'!A:A,A25)</f>
        <v>0.54212294800006477</v>
      </c>
      <c r="H25" s="20"/>
      <c r="I25" s="23">
        <f t="shared" si="0"/>
        <v>0.43602214345059842</v>
      </c>
      <c r="J25" s="20"/>
      <c r="K25" s="54"/>
      <c r="L25" s="54"/>
      <c r="M25" s="54"/>
      <c r="N25" s="54"/>
      <c r="O25" s="54"/>
      <c r="P25" s="54"/>
      <c r="Q25" s="54"/>
    </row>
    <row r="26" spans="1:17" ht="12.75" customHeight="1">
      <c r="A26" s="28">
        <f t="shared" si="1"/>
        <v>2004</v>
      </c>
      <c r="B26" s="20"/>
      <c r="C26" s="23">
        <f>+SUMIFS('Exhibit 3.2'!G:G,'Exhibit 3.2'!B:B,$A26)</f>
        <v>0.14533008599002284</v>
      </c>
      <c r="D26" s="20"/>
      <c r="E26" s="23">
        <f>+SUMIFS('Exhibit 4.1'!L:L,'Exhibit 4.1'!B:B,$A26)</f>
        <v>1.3254462973525922</v>
      </c>
      <c r="F26" s="20"/>
      <c r="G26" s="23">
        <f>SUMIFS('Exhibit 5.2'!S:S,'Exhibit 5.2'!A:A,A26)</f>
        <v>0.49443021512194218</v>
      </c>
      <c r="H26" s="20"/>
      <c r="I26" s="23">
        <f t="shared" si="0"/>
        <v>0.38959436231440997</v>
      </c>
      <c r="J26" s="20"/>
      <c r="K26" s="54"/>
      <c r="L26" s="54"/>
      <c r="M26" s="54"/>
      <c r="N26" s="54"/>
      <c r="O26" s="54"/>
      <c r="P26" s="54"/>
      <c r="Q26" s="54"/>
    </row>
    <row r="27" spans="1:17" ht="12.75" customHeight="1">
      <c r="A27" s="28">
        <f t="shared" si="1"/>
        <v>2005</v>
      </c>
      <c r="B27" s="20"/>
      <c r="C27" s="23">
        <f>+SUMIFS('Exhibit 3.2'!G:G,'Exhibit 3.2'!B:B,$A27)</f>
        <v>0.12471025562791681</v>
      </c>
      <c r="D27" s="20"/>
      <c r="E27" s="23">
        <f>+SUMIFS('Exhibit 4.1'!L:L,'Exhibit 4.1'!B:B,$A27)</f>
        <v>1.7963998806012098</v>
      </c>
      <c r="F27" s="20"/>
      <c r="G27" s="23">
        <f>SUMIFS('Exhibit 5.2'!S:S,'Exhibit 5.2'!A:A,A27)</f>
        <v>0.54861925364560948</v>
      </c>
      <c r="H27" s="20"/>
      <c r="I27" s="23">
        <f t="shared" si="0"/>
        <v>0.40835148754085104</v>
      </c>
      <c r="J27" s="20"/>
      <c r="K27" s="54"/>
      <c r="L27" s="54"/>
      <c r="M27" s="54"/>
      <c r="N27" s="54"/>
      <c r="O27" s="54"/>
      <c r="P27" s="54"/>
      <c r="Q27" s="54"/>
    </row>
    <row r="28" spans="1:17" ht="12.75" customHeight="1">
      <c r="A28" s="28">
        <f t="shared" si="1"/>
        <v>2006</v>
      </c>
      <c r="B28" s="20"/>
      <c r="C28" s="23">
        <f>+SUMIFS('Exhibit 3.2'!G:G,'Exhibit 3.2'!B:B,$A28)</f>
        <v>0.16130336872807455</v>
      </c>
      <c r="D28" s="20"/>
      <c r="E28" s="23">
        <f>+SUMIFS('Exhibit 4.1'!L:L,'Exhibit 4.1'!B:B,$A28)</f>
        <v>1.7651292462633594</v>
      </c>
      <c r="F28" s="20"/>
      <c r="G28" s="23">
        <f>SUMIFS('Exhibit 5.2'!S:S,'Exhibit 5.2'!A:A,A28)</f>
        <v>0.7055045677672207</v>
      </c>
      <c r="H28" s="20"/>
      <c r="I28" s="23">
        <f t="shared" si="0"/>
        <v>0.40357115555440315</v>
      </c>
      <c r="J28" s="20"/>
      <c r="K28" s="54"/>
      <c r="L28" s="54"/>
      <c r="M28" s="54"/>
      <c r="N28" s="54"/>
      <c r="O28" s="54"/>
      <c r="P28" s="54"/>
      <c r="Q28" s="54"/>
    </row>
    <row r="29" spans="1:17" ht="12.75" customHeight="1">
      <c r="A29" s="28">
        <f t="shared" si="1"/>
        <v>2007</v>
      </c>
      <c r="B29" s="20"/>
      <c r="C29" s="23">
        <f>+SUMIFS('Exhibit 3.2'!G:G,'Exhibit 3.2'!B:B,$A29)</f>
        <v>0.22216956873521151</v>
      </c>
      <c r="D29" s="20"/>
      <c r="E29" s="23">
        <f>+SUMIFS('Exhibit 4.1'!L:L,'Exhibit 4.1'!B:B,$A29)</f>
        <v>1.7015983695382786</v>
      </c>
      <c r="F29" s="20"/>
      <c r="G29" s="23">
        <f>SUMIFS('Exhibit 5.2'!S:S,'Exhibit 5.2'!A:A,A29)</f>
        <v>0.9016658388114478</v>
      </c>
      <c r="H29" s="20"/>
      <c r="I29" s="23">
        <f t="shared" si="0"/>
        <v>0.41927215122088385</v>
      </c>
      <c r="J29" s="20"/>
      <c r="K29" s="54"/>
      <c r="L29" s="54"/>
      <c r="M29" s="54"/>
      <c r="N29" s="54"/>
      <c r="O29" s="54"/>
      <c r="P29" s="54"/>
      <c r="Q29" s="54"/>
    </row>
    <row r="30" spans="1:17" ht="12.75" customHeight="1">
      <c r="A30" s="28">
        <f t="shared" si="1"/>
        <v>2008</v>
      </c>
      <c r="B30" s="20"/>
      <c r="C30" s="23">
        <f>+SUMIFS('Exhibit 3.2'!G:G,'Exhibit 3.2'!B:B,$A30)</f>
        <v>0.28116664954436088</v>
      </c>
      <c r="D30" s="20"/>
      <c r="E30" s="23">
        <f>+SUMIFS('Exhibit 4.1'!L:L,'Exhibit 4.1'!B:B,$A30)</f>
        <v>1.5979987071170196</v>
      </c>
      <c r="F30" s="20"/>
      <c r="G30" s="23">
        <f>SUMIFS('Exhibit 5.2'!S:S,'Exhibit 5.2'!A:A,A30)</f>
        <v>1.0893215696266196</v>
      </c>
      <c r="H30" s="20"/>
      <c r="I30" s="23">
        <f t="shared" si="0"/>
        <v>0.41246217369065602</v>
      </c>
      <c r="J30" s="20"/>
      <c r="K30" s="54"/>
      <c r="L30" s="54"/>
      <c r="M30" s="54"/>
      <c r="N30" s="54"/>
      <c r="O30" s="54"/>
      <c r="P30" s="54"/>
      <c r="Q30" s="54"/>
    </row>
    <row r="31" spans="1:17" ht="12.75" customHeight="1">
      <c r="A31" s="28">
        <f t="shared" si="1"/>
        <v>2009</v>
      </c>
      <c r="B31" s="20"/>
      <c r="C31" s="23">
        <f>+SUMIFS('Exhibit 3.2'!G:G,'Exhibit 3.2'!B:B,$A31)</f>
        <v>0.3296426287865945</v>
      </c>
      <c r="D31" s="20"/>
      <c r="E31" s="23">
        <f>+SUMIFS('Exhibit 4.1'!L:L,'Exhibit 4.1'!B:B,$A31)</f>
        <v>1.5665239328083536</v>
      </c>
      <c r="F31" s="20"/>
      <c r="G31" s="23">
        <f>SUMIFS('Exhibit 5.2'!S:S,'Exhibit 5.2'!A:A,A31)</f>
        <v>1.1763778186986993</v>
      </c>
      <c r="H31" s="20"/>
      <c r="I31" s="23">
        <f t="shared" si="0"/>
        <v>0.4389687216640063</v>
      </c>
      <c r="J31" s="20"/>
      <c r="K31" s="54"/>
      <c r="L31" s="54"/>
      <c r="M31" s="54"/>
      <c r="N31" s="54"/>
      <c r="O31" s="54"/>
      <c r="P31" s="54"/>
      <c r="Q31" s="54"/>
    </row>
    <row r="32" spans="1:17" ht="12.75" customHeight="1">
      <c r="A32" s="28">
        <f t="shared" si="1"/>
        <v>2010</v>
      </c>
      <c r="B32" s="20"/>
      <c r="C32" s="23">
        <f>+SUMIFS('Exhibit 3.2'!G:G,'Exhibit 3.2'!B:B,$A32)</f>
        <v>0.31679907906989552</v>
      </c>
      <c r="D32" s="20"/>
      <c r="E32" s="23">
        <f>+SUMIFS('Exhibit 4.1'!L:L,'Exhibit 4.1'!B:B,$A32)</f>
        <v>1.5372244350758089</v>
      </c>
      <c r="F32" s="20"/>
      <c r="G32" s="23">
        <f>SUMIFS('Exhibit 5.2'!S:S,'Exhibit 5.2'!A:A,A32)</f>
        <v>1.0695027507116064</v>
      </c>
      <c r="H32" s="20"/>
      <c r="I32" s="23">
        <f t="shared" si="0"/>
        <v>0.45534364921617188</v>
      </c>
      <c r="J32" s="20"/>
      <c r="K32" s="54"/>
      <c r="L32" s="54"/>
      <c r="M32" s="54"/>
      <c r="N32" s="54"/>
      <c r="O32" s="54"/>
      <c r="P32" s="54"/>
      <c r="Q32" s="54"/>
    </row>
    <row r="33" spans="1:17" ht="12.75" customHeight="1">
      <c r="A33" s="28">
        <f t="shared" si="1"/>
        <v>2011</v>
      </c>
      <c r="B33" s="20"/>
      <c r="C33" s="23">
        <f>+SUMIFS('Exhibit 3.2'!G:G,'Exhibit 3.2'!B:B,$A33)</f>
        <v>0.29371185859575283</v>
      </c>
      <c r="D33" s="20"/>
      <c r="E33" s="23">
        <f>+SUMIFS('Exhibit 4.1'!L:L,'Exhibit 4.1'!B:B,$A33)</f>
        <v>1.5160004290688449</v>
      </c>
      <c r="F33" s="20"/>
      <c r="G33" s="23">
        <f>SUMIFS('Exhibit 5.2'!S:S,'Exhibit 5.2'!A:A,A33)</f>
        <v>0.97671251363831668</v>
      </c>
      <c r="H33" s="20"/>
      <c r="I33" s="23">
        <f t="shared" si="0"/>
        <v>0.45588368884014802</v>
      </c>
      <c r="J33" s="20"/>
      <c r="K33" s="54"/>
      <c r="L33" s="54"/>
      <c r="M33" s="54"/>
      <c r="N33" s="54"/>
      <c r="O33" s="54"/>
      <c r="P33" s="54"/>
      <c r="Q33" s="54"/>
    </row>
    <row r="34" spans="1:17" ht="12.75" customHeight="1">
      <c r="A34" s="28">
        <f t="shared" si="1"/>
        <v>2012</v>
      </c>
      <c r="B34" s="20"/>
      <c r="C34" s="23">
        <f>+SUMIFS('Exhibit 3.2'!G:G,'Exhibit 3.2'!B:B,$A34)</f>
        <v>0.26375843803302695</v>
      </c>
      <c r="D34" s="20"/>
      <c r="E34" s="23">
        <f>+SUMIFS('Exhibit 4.1'!L:L,'Exhibit 4.1'!B:B,$A34)</f>
        <v>1.497221836726758</v>
      </c>
      <c r="F34" s="20"/>
      <c r="G34" s="23">
        <f>SUMIFS('Exhibit 5.2'!S:S,'Exhibit 5.2'!A:A,A34)</f>
        <v>0.86916724036407511</v>
      </c>
      <c r="H34" s="20"/>
      <c r="I34" s="23">
        <f t="shared" si="0"/>
        <v>0.45434857033793913</v>
      </c>
      <c r="J34" s="20"/>
      <c r="K34" s="54"/>
      <c r="L34" s="54"/>
      <c r="M34" s="54"/>
      <c r="N34" s="54"/>
      <c r="O34" s="54"/>
      <c r="P34" s="54"/>
      <c r="Q34" s="54"/>
    </row>
    <row r="35" spans="1:17" ht="12.75" customHeight="1">
      <c r="A35" s="28">
        <f t="shared" si="1"/>
        <v>2013</v>
      </c>
      <c r="B35" s="20"/>
      <c r="C35" s="23">
        <f>+SUMIFS('Exhibit 3.2'!G:G,'Exhibit 3.2'!B:B,$A35)</f>
        <v>0.22378179561184275</v>
      </c>
      <c r="D35" s="20"/>
      <c r="E35" s="23">
        <f>+SUMIFS('Exhibit 4.1'!L:L,'Exhibit 4.1'!B:B,$A35)</f>
        <v>1.4641534429374834</v>
      </c>
      <c r="F35" s="20"/>
      <c r="G35" s="23">
        <f>SUMIFS('Exhibit 5.2'!S:S,'Exhibit 5.2'!A:A,A35)</f>
        <v>0.75966249728112722</v>
      </c>
      <c r="H35" s="20"/>
      <c r="I35" s="23">
        <f t="shared" si="0"/>
        <v>0.43131112524903081</v>
      </c>
      <c r="J35" s="20"/>
      <c r="K35" s="54"/>
      <c r="L35" s="54"/>
      <c r="M35" s="54"/>
      <c r="N35" s="54"/>
      <c r="O35" s="54"/>
      <c r="P35" s="54"/>
      <c r="Q35" s="54"/>
    </row>
    <row r="36" spans="1:17" ht="12.75" customHeight="1">
      <c r="A36" s="28">
        <f t="shared" si="1"/>
        <v>2014</v>
      </c>
      <c r="B36" s="23"/>
      <c r="C36" s="23">
        <f ca="1">+SUMIFS('Exhibit 3.2'!G:G,'Exhibit 3.2'!B:B,$A36)</f>
        <v>0.21310147323826015</v>
      </c>
      <c r="D36" s="23"/>
      <c r="E36" s="23">
        <f>+SUMIFS('Exhibit 4.1'!L:L,'Exhibit 4.1'!B:B,$A36)</f>
        <v>1.3408615062835727</v>
      </c>
      <c r="F36" s="23"/>
      <c r="G36" s="23">
        <f>SUMIFS('Exhibit 5.2'!S:S,'Exhibit 5.2'!A:A,A36)</f>
        <v>0.69975662958949059</v>
      </c>
      <c r="H36" s="313"/>
      <c r="I36" s="23">
        <f t="shared" ca="1" si="0"/>
        <v>0.40834134371135566</v>
      </c>
      <c r="J36" s="23"/>
      <c r="K36" s="54"/>
      <c r="L36" s="54"/>
      <c r="M36" s="54"/>
      <c r="N36" s="54"/>
      <c r="O36" s="54"/>
      <c r="P36" s="54"/>
      <c r="Q36" s="54"/>
    </row>
    <row r="37" spans="1:17" ht="12.75" customHeight="1">
      <c r="A37" s="28">
        <f t="shared" si="1"/>
        <v>2015</v>
      </c>
      <c r="B37" s="23"/>
      <c r="C37" s="23">
        <f ca="1">+SUMIFS('Exhibit 3.2'!G:G,'Exhibit 3.2'!B:B,$A37)</f>
        <v>0.20771037367375639</v>
      </c>
      <c r="D37" s="23"/>
      <c r="E37" s="23">
        <f>+SUMIFS('Exhibit 4.1'!L:L,'Exhibit 4.1'!B:B,$A37)</f>
        <v>1.3217951731692286</v>
      </c>
      <c r="F37" s="23"/>
      <c r="G37" s="23">
        <f>SUMIFS('Exhibit 5.2'!S:S,'Exhibit 5.2'!A:A,A37)</f>
        <v>0.66851752471942893</v>
      </c>
      <c r="H37" s="313"/>
      <c r="I37" s="23">
        <f t="shared" ca="1" si="0"/>
        <v>0.41068567268206546</v>
      </c>
      <c r="J37" s="23"/>
      <c r="K37" s="54"/>
      <c r="L37" s="54"/>
      <c r="M37" s="54"/>
      <c r="N37" s="54"/>
      <c r="O37" s="54"/>
      <c r="P37" s="54"/>
      <c r="Q37" s="54"/>
    </row>
    <row r="38" spans="1:17" ht="12.75" customHeight="1">
      <c r="A38" s="28">
        <f t="shared" si="1"/>
        <v>2016</v>
      </c>
      <c r="B38" s="23"/>
      <c r="C38" s="23">
        <f ca="1">+SUMIFS('Exhibit 3.2'!G:G,'Exhibit 3.2'!B:B,$A38)</f>
        <v>0.1976455617135803</v>
      </c>
      <c r="D38" s="23"/>
      <c r="E38" s="23">
        <f>+SUMIFS('Exhibit 4.1'!L:L,'Exhibit 4.1'!B:B,$A38)</f>
        <v>1.3051840951897486</v>
      </c>
      <c r="F38" s="23"/>
      <c r="G38" s="23">
        <f>SUMIFS('Exhibit 5.2'!S:S,'Exhibit 5.2'!A:A,A38)</f>
        <v>0.69004838248588241</v>
      </c>
      <c r="H38" s="313"/>
      <c r="I38" s="23">
        <f t="shared" ca="1" si="0"/>
        <v>0.3738344298469341</v>
      </c>
      <c r="J38" s="23"/>
      <c r="K38" s="54"/>
      <c r="L38" s="54"/>
      <c r="M38" s="54"/>
      <c r="N38" s="54"/>
      <c r="O38" s="54"/>
      <c r="P38" s="54"/>
      <c r="Q38" s="54"/>
    </row>
    <row r="39" spans="1:17" ht="12.75" customHeight="1">
      <c r="A39" s="28">
        <f t="shared" si="1"/>
        <v>2017</v>
      </c>
      <c r="B39" s="23"/>
      <c r="C39" s="23">
        <f ca="1">+SUMIFS('Exhibit 3.2'!G:G,'Exhibit 3.2'!B:B,$A39)</f>
        <v>0.2035207061064509</v>
      </c>
      <c r="D39" s="23"/>
      <c r="E39" s="23">
        <f>+SUMIFS('Exhibit 4.1'!L:L,'Exhibit 4.1'!B:B,$A39)</f>
        <v>1.2711139203373778</v>
      </c>
      <c r="F39" s="23"/>
      <c r="G39" s="23">
        <f>SUMIFS('Exhibit 5.2'!S:S,'Exhibit 5.2'!A:A,A39)</f>
        <v>0.72299592080262609</v>
      </c>
      <c r="H39" s="313"/>
      <c r="I39" s="23">
        <f ca="1">C39*E39/G39</f>
        <v>0.35781391729238432</v>
      </c>
      <c r="J39" s="23"/>
      <c r="K39" s="54"/>
      <c r="L39" s="54"/>
      <c r="M39" s="54"/>
      <c r="N39" s="54"/>
      <c r="O39" s="54"/>
      <c r="P39" s="54"/>
      <c r="Q39" s="54"/>
    </row>
    <row r="40" spans="1:17" ht="12.75" customHeight="1">
      <c r="A40" s="28">
        <f t="shared" si="1"/>
        <v>2018</v>
      </c>
      <c r="B40" s="23"/>
      <c r="C40" s="23">
        <f ca="1">+SUMIFS('Exhibit 3.2'!G:G,'Exhibit 3.2'!B:B,$A40)</f>
        <v>0.21749531662234506</v>
      </c>
      <c r="D40" s="23"/>
      <c r="E40" s="23">
        <f>+SUMIFS('Exhibit 4.1'!L:L,'Exhibit 4.1'!B:B,$A40)</f>
        <v>1.2383028571909604</v>
      </c>
      <c r="F40" s="23"/>
      <c r="G40" s="23">
        <f>SUMIFS('Exhibit 5.2'!S:S,'Exhibit 5.2'!A:A,A40)</f>
        <v>0.76106237508571994</v>
      </c>
      <c r="H40" s="313"/>
      <c r="I40" s="23">
        <f ca="1">C40*E40/G40</f>
        <v>0.35388041876169202</v>
      </c>
      <c r="J40" s="20"/>
      <c r="K40" s="54"/>
      <c r="L40" s="54"/>
      <c r="M40" s="54"/>
      <c r="N40" s="54"/>
      <c r="O40" s="54"/>
      <c r="P40" s="54"/>
      <c r="Q40" s="54"/>
    </row>
    <row r="41" spans="1:17" ht="12.75" customHeight="1">
      <c r="A41" s="28">
        <f t="shared" si="1"/>
        <v>2019</v>
      </c>
      <c r="B41" s="23"/>
      <c r="C41" s="23">
        <f ca="1">+SUMIFS('Exhibit 3.2'!G:G,'Exhibit 3.2'!B:B,$A41)</f>
        <v>0.25595168133384738</v>
      </c>
      <c r="D41" s="23"/>
      <c r="E41" s="23">
        <f>+SUMIFS('Exhibit 4.1'!L:L,'Exhibit 4.1'!B:B,$A41)</f>
        <v>1.2048222914970081</v>
      </c>
      <c r="F41" s="23"/>
      <c r="G41" s="23">
        <f>SUMIFS('Exhibit 5.2'!S:S,'Exhibit 5.2'!A:A,A41)</f>
        <v>0.84486914615370357</v>
      </c>
      <c r="H41" s="313"/>
      <c r="I41" s="23">
        <f t="shared" ref="I41:I45" ca="1" si="2">C41*E41/G41</f>
        <v>0.36499887896374472</v>
      </c>
      <c r="J41" s="20"/>
      <c r="K41" s="172"/>
      <c r="L41" s="172"/>
      <c r="M41" s="172"/>
      <c r="N41" s="172"/>
      <c r="O41" s="54"/>
      <c r="P41" s="54"/>
      <c r="Q41" s="54"/>
    </row>
    <row r="42" spans="1:17" ht="12.75" customHeight="1">
      <c r="A42" s="28">
        <f t="shared" si="1"/>
        <v>2020</v>
      </c>
      <c r="B42" s="23"/>
      <c r="C42" s="23">
        <f ca="1">+SUMIFS('Exhibit 3.2'!G:G,'Exhibit 3.2'!B:B,$A42)</f>
        <v>0.26890716984262936</v>
      </c>
      <c r="D42" s="23"/>
      <c r="E42" s="23">
        <f>+SUMIFS('Exhibit 4.1'!L:L,'Exhibit 4.1'!B:B,$A42)</f>
        <v>1.1700635869401255</v>
      </c>
      <c r="F42" s="23"/>
      <c r="G42" s="23">
        <f>SUMIFS('Exhibit 5.2'!S:S,'Exhibit 5.2'!A:A,A42)</f>
        <v>0.8944113884405358</v>
      </c>
      <c r="H42" s="313"/>
      <c r="I42" s="23">
        <f t="shared" ca="1" si="2"/>
        <v>0.35178273864398912</v>
      </c>
      <c r="J42" s="20"/>
      <c r="K42" s="172"/>
      <c r="L42" s="172"/>
      <c r="M42" s="172"/>
      <c r="N42" s="172"/>
      <c r="O42" s="54"/>
      <c r="P42" s="54"/>
      <c r="Q42" s="54"/>
    </row>
    <row r="43" spans="1:17" ht="12.75" customHeight="1">
      <c r="A43" s="28">
        <f t="shared" si="1"/>
        <v>2021</v>
      </c>
      <c r="B43" s="23"/>
      <c r="C43" s="23">
        <f ca="1">+SUMIFS('Exhibit 3.2'!G:G,'Exhibit 3.2'!B:B,$A43)</f>
        <v>0.31018208035741612</v>
      </c>
      <c r="D43" s="23"/>
      <c r="E43" s="23">
        <f>+SUMIFS('Exhibit 4.1'!L:L,'Exhibit 4.1'!B:B,$A43)</f>
        <v>1.1270497338478236</v>
      </c>
      <c r="F43" s="23"/>
      <c r="G43" s="23">
        <f>SUMIFS('Exhibit 5.2'!S:S,'Exhibit 5.2'!A:A,A43)</f>
        <v>0.93050759135991468</v>
      </c>
      <c r="H43" s="319"/>
      <c r="I43" s="23">
        <f t="shared" ca="1" si="2"/>
        <v>0.37569884905535456</v>
      </c>
      <c r="J43" s="20"/>
      <c r="K43" s="172"/>
      <c r="L43" s="172"/>
      <c r="M43" s="172"/>
      <c r="N43" s="172"/>
      <c r="O43" s="54"/>
      <c r="P43" s="54"/>
      <c r="Q43" s="54"/>
    </row>
    <row r="44" spans="1:17" ht="12.75" customHeight="1">
      <c r="A44" s="28">
        <f t="shared" si="1"/>
        <v>2022</v>
      </c>
      <c r="B44" s="23"/>
      <c r="C44" s="23">
        <f ca="1">+SUMIFS('Exhibit 3.2'!G:G,'Exhibit 3.2'!B:B,$A44)</f>
        <v>0.30806896857057919</v>
      </c>
      <c r="D44" s="23"/>
      <c r="E44" s="23">
        <f>+SUMIFS('Exhibit 4.1'!L:L,'Exhibit 4.1'!B:B,$A44)</f>
        <v>1.0904558880208535</v>
      </c>
      <c r="F44" s="23"/>
      <c r="G44" s="23">
        <f>SUMIFS('Exhibit 5.2'!S:S,'Exhibit 5.2'!A:A,A44)</f>
        <v>0.91820751077840224</v>
      </c>
      <c r="H44" s="335"/>
      <c r="I44" s="23">
        <f t="shared" ca="1" si="2"/>
        <v>0.36586024046951315</v>
      </c>
      <c r="J44" s="20"/>
      <c r="K44" s="172"/>
      <c r="L44" s="172"/>
      <c r="M44" s="172"/>
      <c r="N44" s="172"/>
      <c r="O44" s="54"/>
      <c r="P44" s="54"/>
      <c r="Q44" s="54"/>
    </row>
    <row r="45" spans="1:17" ht="12.75" customHeight="1">
      <c r="A45" s="28">
        <f t="shared" si="1"/>
        <v>2023</v>
      </c>
      <c r="B45" s="23"/>
      <c r="C45" s="23">
        <f ca="1">+SUMIFS('Exhibit 3.2'!G:G,'Exhibit 3.2'!B:B,$A45)</f>
        <v>0.31226631027826723</v>
      </c>
      <c r="D45" s="23"/>
      <c r="E45" s="23">
        <f>+SUMIFS('Exhibit 4.1'!L:L,'Exhibit 4.1'!B:B,$A45)</f>
        <v>1.0640732557185673</v>
      </c>
      <c r="F45" s="23"/>
      <c r="G45" s="23">
        <f>SUMIFS('Exhibit 5.2'!S:S,'Exhibit 5.2'!A:A,A45)</f>
        <v>0.95221971048228515</v>
      </c>
      <c r="H45" s="313"/>
      <c r="I45" s="23">
        <f t="shared" ca="1" si="2"/>
        <v>0.34894701902434699</v>
      </c>
      <c r="J45" s="20"/>
      <c r="K45" s="451" t="s">
        <v>222</v>
      </c>
      <c r="L45" s="452"/>
      <c r="M45" s="453"/>
      <c r="N45" s="449" t="s">
        <v>216</v>
      </c>
      <c r="O45" s="450"/>
      <c r="P45" s="54"/>
      <c r="Q45" s="54"/>
    </row>
    <row r="46" spans="1:17" ht="12.75" customHeight="1">
      <c r="A46" s="206"/>
      <c r="B46" s="123"/>
      <c r="C46" s="28"/>
      <c r="D46" s="30"/>
      <c r="E46" s="313"/>
      <c r="F46" s="313"/>
      <c r="G46" s="313"/>
      <c r="H46" s="123"/>
      <c r="I46" s="54"/>
      <c r="J46" s="123"/>
      <c r="K46" s="154" t="s">
        <v>271</v>
      </c>
      <c r="L46" s="155" t="s">
        <v>253</v>
      </c>
      <c r="M46" s="156" t="s">
        <v>226</v>
      </c>
      <c r="N46" s="403" t="s">
        <v>251</v>
      </c>
      <c r="O46" s="156" t="s">
        <v>252</v>
      </c>
      <c r="P46" s="408" t="s">
        <v>276</v>
      </c>
      <c r="Q46" s="54"/>
    </row>
    <row r="47" spans="1:17" ht="12.75" customHeight="1">
      <c r="A47" s="206"/>
      <c r="B47" s="123"/>
      <c r="C47" s="28"/>
      <c r="D47" s="30"/>
      <c r="E47" s="313"/>
      <c r="F47" s="313"/>
      <c r="G47" s="313"/>
      <c r="H47" s="123"/>
      <c r="I47" s="313" t="s">
        <v>207</v>
      </c>
      <c r="J47" s="123"/>
      <c r="K47" s="62">
        <f>+'Exhibit 6.1'!A69</f>
        <v>2023</v>
      </c>
      <c r="L47" s="402">
        <v>2.9364087183214593E-4</v>
      </c>
      <c r="M47" s="157">
        <f>+'Exhibit 6.2'!$L$49</f>
        <v>0.01</v>
      </c>
      <c r="N47" s="404">
        <f t="shared" ref="N47:N48" si="3">1+L47</f>
        <v>1.0002936408718321</v>
      </c>
      <c r="O47" s="405">
        <f t="shared" ref="O47:O48" si="4">1+M47</f>
        <v>1.01</v>
      </c>
      <c r="P47" s="409">
        <f>INDEX('Exhibit 6.1'!$B$25:$B$72,MATCH($K47,'Exhibit 6.1'!$A$25:$A$72,0))</f>
        <v>-1.6492027931942266E-2</v>
      </c>
      <c r="Q47" s="54"/>
    </row>
    <row r="48" spans="1:17" ht="12.75" customHeight="1">
      <c r="A48" s="19">
        <f>A45+1</f>
        <v>2024</v>
      </c>
      <c r="B48" s="123"/>
      <c r="C48" s="28"/>
      <c r="D48" s="30"/>
      <c r="E48" s="313"/>
      <c r="F48" s="313"/>
      <c r="G48" s="313"/>
      <c r="H48" s="123"/>
      <c r="I48" s="23">
        <f ca="1">AVERAGE(PRODUCT($I$44,$N$47:$O48),PRODUCT($I$45,$N$48:$O48))</f>
        <v>0.35394181565040433</v>
      </c>
      <c r="J48" s="123"/>
      <c r="K48" s="62">
        <f>+'Exhibit 6.1'!A70</f>
        <v>2024</v>
      </c>
      <c r="L48" s="316">
        <f t="shared" ref="L48:L50" si="5">$P48</f>
        <v>-2.4631389668835935E-2</v>
      </c>
      <c r="M48" s="157">
        <f>+'Exhibit 6.2'!$L$49</f>
        <v>0.01</v>
      </c>
      <c r="N48" s="404">
        <f t="shared" si="3"/>
        <v>0.97536861033116407</v>
      </c>
      <c r="O48" s="405">
        <f t="shared" si="4"/>
        <v>1.01</v>
      </c>
      <c r="P48" s="409">
        <f>INDEX('Exhibit 6.1'!$B$25:$B$72,MATCH($K48,'Exhibit 6.1'!$A$25:$A$72,0))</f>
        <v>-2.4631389668835935E-2</v>
      </c>
      <c r="Q48" s="54"/>
    </row>
    <row r="49" spans="1:17" ht="12.75" customHeight="1">
      <c r="A49" s="19">
        <f>A48+1</f>
        <v>2025</v>
      </c>
      <c r="B49" s="123"/>
      <c r="C49" s="28"/>
      <c r="D49" s="30"/>
      <c r="E49" s="313"/>
      <c r="F49" s="313"/>
      <c r="G49" s="313"/>
      <c r="H49" s="123"/>
      <c r="I49" s="23">
        <f ca="1">AVERAGE(PRODUCT($I$44,$N$47:$O49),PRODUCT($I$45,$N$48:$O49))</f>
        <v>0.3550955449685867</v>
      </c>
      <c r="J49" s="123"/>
      <c r="K49" s="62">
        <f>+'Exhibit 6.1'!A71</f>
        <v>2025</v>
      </c>
      <c r="L49" s="316">
        <f t="shared" si="5"/>
        <v>-6.6736058083830541E-3</v>
      </c>
      <c r="M49" s="157">
        <f>+'Exhibit 6.2'!$L$49</f>
        <v>0.01</v>
      </c>
      <c r="N49" s="404">
        <f t="shared" ref="N49" si="6">1+L49</f>
        <v>0.99332639419161695</v>
      </c>
      <c r="O49" s="405">
        <f t="shared" ref="O49" si="7">1+M49</f>
        <v>1.01</v>
      </c>
      <c r="P49" s="409">
        <f>INDEX('Exhibit 6.1'!$B$25:$B$72,MATCH($K49,'Exhibit 6.1'!$A$25:$A$72,0))</f>
        <v>-6.6736058083830541E-3</v>
      </c>
      <c r="Q49" s="54"/>
    </row>
    <row r="50" spans="1:17" ht="12.75" customHeight="1">
      <c r="A50" s="41" t="str">
        <f>'Exhibit 4.1'!$B$48</f>
        <v>9/1/2025</v>
      </c>
      <c r="B50" s="123"/>
      <c r="C50" s="28"/>
      <c r="D50" s="30"/>
      <c r="E50" s="215"/>
      <c r="F50" s="215"/>
      <c r="G50" s="215"/>
      <c r="H50" s="123"/>
      <c r="I50" s="23">
        <f ca="1">I49*PRODUCT($N$50:$O$50)^(2/12)</f>
        <v>0.35389634835197409</v>
      </c>
      <c r="J50" s="123"/>
      <c r="K50" s="158">
        <f>+'Exhibit 6.1'!A72</f>
        <v>2026</v>
      </c>
      <c r="L50" s="317">
        <f t="shared" si="5"/>
        <v>-2.9794409538057121E-2</v>
      </c>
      <c r="M50" s="159">
        <f>+'Exhibit 6.2'!$L$49</f>
        <v>0.01</v>
      </c>
      <c r="N50" s="406">
        <f>1+L50</f>
        <v>0.97020559046194288</v>
      </c>
      <c r="O50" s="407">
        <f>1+M50</f>
        <v>1.01</v>
      </c>
      <c r="P50" s="410">
        <f>INDEX('Exhibit 6.1'!$B$25:$B$72,MATCH($K50,'Exhibit 6.1'!$A$25:$A$72,0))</f>
        <v>-2.9794409538057121E-2</v>
      </c>
      <c r="Q50" s="54"/>
    </row>
    <row r="51" spans="1:17" ht="12.75" customHeight="1">
      <c r="A51" s="215"/>
      <c r="B51" s="123"/>
      <c r="C51" s="28"/>
      <c r="D51" s="30"/>
      <c r="E51" s="215"/>
      <c r="F51" s="215"/>
      <c r="G51" s="215"/>
      <c r="H51" s="123"/>
      <c r="I51" s="123"/>
      <c r="J51" s="123"/>
      <c r="K51" s="54"/>
      <c r="L51" s="54"/>
      <c r="M51" s="54"/>
      <c r="N51" s="54"/>
      <c r="O51" s="54"/>
      <c r="P51" s="54"/>
      <c r="Q51" s="54"/>
    </row>
    <row r="52" spans="1:17">
      <c r="A52" s="31" t="s">
        <v>22</v>
      </c>
      <c r="B52" s="436" t="s">
        <v>401</v>
      </c>
      <c r="C52" s="436"/>
      <c r="D52" s="436"/>
      <c r="E52" s="436"/>
      <c r="F52" s="436"/>
      <c r="G52" s="436"/>
      <c r="H52" s="436"/>
      <c r="I52" s="436"/>
      <c r="J52" s="123"/>
      <c r="K52" s="54"/>
      <c r="L52" s="54"/>
      <c r="M52" s="54"/>
      <c r="N52" s="54"/>
      <c r="O52" s="54"/>
      <c r="P52" s="54"/>
      <c r="Q52" s="54"/>
    </row>
    <row r="53" spans="1:17">
      <c r="A53" s="31" t="s">
        <v>26</v>
      </c>
      <c r="B53" s="436" t="s">
        <v>208</v>
      </c>
      <c r="C53" s="436"/>
      <c r="D53" s="436"/>
      <c r="E53" s="436"/>
      <c r="F53" s="436"/>
      <c r="G53" s="436"/>
      <c r="H53" s="436"/>
      <c r="I53" s="436"/>
      <c r="J53" s="123"/>
      <c r="K53" s="54"/>
      <c r="L53" s="54"/>
      <c r="M53" s="54"/>
      <c r="N53" s="54"/>
      <c r="O53" s="54"/>
      <c r="P53" s="54"/>
      <c r="Q53" s="54"/>
    </row>
    <row r="54" spans="1:17">
      <c r="A54" s="31" t="s">
        <v>34</v>
      </c>
      <c r="B54" s="436" t="s">
        <v>209</v>
      </c>
      <c r="C54" s="436"/>
      <c r="D54" s="436"/>
      <c r="E54" s="436"/>
      <c r="F54" s="436"/>
      <c r="G54" s="436"/>
      <c r="H54" s="436"/>
      <c r="I54" s="436"/>
      <c r="J54" s="187"/>
      <c r="K54" s="54"/>
      <c r="L54" s="54"/>
      <c r="M54" s="54"/>
      <c r="N54" s="54"/>
      <c r="O54" s="54"/>
      <c r="P54" s="54"/>
      <c r="Q54" s="54"/>
    </row>
    <row r="55" spans="1:17" ht="51.95" customHeight="1">
      <c r="A55" s="31" t="s">
        <v>49</v>
      </c>
      <c r="B55" s="436" t="s">
        <v>486</v>
      </c>
      <c r="C55" s="436"/>
      <c r="D55" s="436"/>
      <c r="E55" s="436"/>
      <c r="F55" s="436"/>
      <c r="G55" s="436"/>
      <c r="H55" s="436"/>
      <c r="I55" s="436"/>
      <c r="J55" s="187"/>
      <c r="Q55" s="54"/>
    </row>
  </sheetData>
  <mergeCells count="6">
    <mergeCell ref="N45:O45"/>
    <mergeCell ref="B55:I55"/>
    <mergeCell ref="B52:I52"/>
    <mergeCell ref="K45:M45"/>
    <mergeCell ref="B53:I53"/>
    <mergeCell ref="B54:I54"/>
  </mergeCells>
  <printOptions horizontalCentered="1"/>
  <pageMargins left="0.5" right="0.5" top="0.75" bottom="0.75" header="0.33" footer="0.33"/>
  <pageSetup scale="90" orientation="portrait" blackAndWhite="1" horizontalDpi="1200" verticalDpi="1200" r:id="rId1"/>
  <headerFooter scaleWithDoc="0">
    <oddHeader>&amp;R&amp;"Arial,Regular"&amp;10Exhibit 7.1</oddHeader>
  </headerFooter>
  <ignoredErrors>
    <ignoredError sqref="C5:I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X35"/>
  <sheetViews>
    <sheetView zoomScaleNormal="100" zoomScaleSheetLayoutView="100" workbookViewId="0"/>
  </sheetViews>
  <sheetFormatPr defaultColWidth="9.140625" defaultRowHeight="12.75"/>
  <cols>
    <col min="1" max="1" width="13.140625" style="53" customWidth="1"/>
    <col min="2" max="23" width="7.85546875" style="53" customWidth="1"/>
    <col min="24" max="24" width="13.140625" style="54" bestFit="1" customWidth="1"/>
    <col min="25" max="16384" width="9.140625" style="53"/>
  </cols>
  <sheetData>
    <row r="1" spans="1:24" ht="15" customHeight="1">
      <c r="A1" s="189" t="s">
        <v>23</v>
      </c>
      <c r="B1" s="189"/>
      <c r="C1" s="189"/>
      <c r="D1" s="189"/>
      <c r="E1" s="189"/>
      <c r="F1" s="189"/>
      <c r="G1" s="189"/>
      <c r="H1" s="189"/>
      <c r="I1" s="189"/>
      <c r="J1" s="189"/>
      <c r="K1" s="189"/>
      <c r="L1" s="189"/>
      <c r="M1" s="189"/>
      <c r="N1" s="189"/>
      <c r="O1" s="189"/>
      <c r="P1" s="189"/>
      <c r="Q1" s="189"/>
      <c r="R1" s="189"/>
      <c r="S1" s="189"/>
      <c r="T1" s="189"/>
      <c r="U1" s="189"/>
      <c r="V1" s="189"/>
      <c r="W1" s="189"/>
      <c r="X1" s="217"/>
    </row>
    <row r="2" spans="1:24">
      <c r="A2" s="105"/>
      <c r="B2" s="105"/>
      <c r="C2" s="105"/>
      <c r="D2" s="105"/>
      <c r="E2" s="105"/>
      <c r="F2" s="105"/>
      <c r="G2" s="105"/>
      <c r="H2" s="105"/>
      <c r="I2" s="105"/>
      <c r="J2" s="105"/>
      <c r="K2" s="105"/>
      <c r="L2" s="105"/>
      <c r="M2" s="105"/>
      <c r="N2" s="105"/>
      <c r="O2" s="105"/>
      <c r="P2" s="105"/>
      <c r="Q2" s="105"/>
      <c r="R2" s="105"/>
      <c r="S2" s="105"/>
      <c r="T2" s="105"/>
      <c r="U2" s="105"/>
      <c r="V2" s="105"/>
      <c r="W2" s="105"/>
    </row>
    <row r="3" spans="1:24" ht="15">
      <c r="A3" s="283"/>
      <c r="B3" s="180" t="s">
        <v>18</v>
      </c>
      <c r="C3" s="180"/>
      <c r="D3" s="180"/>
      <c r="E3" s="180"/>
      <c r="F3" s="180"/>
      <c r="G3" s="180"/>
      <c r="H3" s="180"/>
      <c r="I3" s="180"/>
      <c r="J3" s="180"/>
      <c r="K3" s="180"/>
      <c r="L3" s="180"/>
      <c r="M3" s="180"/>
      <c r="N3" s="180"/>
      <c r="O3" s="180"/>
      <c r="P3" s="180"/>
      <c r="Q3" s="180"/>
      <c r="R3" s="180"/>
      <c r="S3" s="180"/>
      <c r="T3" s="180"/>
      <c r="U3" s="180"/>
      <c r="V3" s="180"/>
      <c r="W3" s="180"/>
      <c r="X3" s="298"/>
    </row>
    <row r="4" spans="1:24">
      <c r="A4" s="184" t="s">
        <v>19</v>
      </c>
      <c r="B4" s="184" t="str">
        <f>LEFT('Exhibit 2.1.1'!Q4,3)+12&amp;"/"&amp;RIGHT('Exhibit 2.1.1'!Q4,3)+12</f>
        <v>216/204</v>
      </c>
      <c r="C4" s="184" t="str">
        <f>LEFT(B4,3)+12&amp;"/"&amp;RIGHT(B4,3)+12</f>
        <v>228/216</v>
      </c>
      <c r="D4" s="184" t="str">
        <f t="shared" ref="D4:R4" si="0">LEFT(C4,3)+12&amp;"/"&amp;RIGHT(C4,3)+12</f>
        <v>240/228</v>
      </c>
      <c r="E4" s="184" t="str">
        <f t="shared" si="0"/>
        <v>252/240</v>
      </c>
      <c r="F4" s="184" t="str">
        <f t="shared" si="0"/>
        <v>264/252</v>
      </c>
      <c r="G4" s="184" t="str">
        <f t="shared" si="0"/>
        <v>276/264</v>
      </c>
      <c r="H4" s="184" t="str">
        <f t="shared" si="0"/>
        <v>288/276</v>
      </c>
      <c r="I4" s="184" t="str">
        <f t="shared" si="0"/>
        <v>300/288</v>
      </c>
      <c r="J4" s="184" t="str">
        <f t="shared" si="0"/>
        <v>312/300</v>
      </c>
      <c r="K4" s="184" t="str">
        <f t="shared" si="0"/>
        <v>324/312</v>
      </c>
      <c r="L4" s="184" t="str">
        <f t="shared" si="0"/>
        <v>336/324</v>
      </c>
      <c r="M4" s="184" t="str">
        <f t="shared" si="0"/>
        <v>348/336</v>
      </c>
      <c r="N4" s="184" t="str">
        <f t="shared" si="0"/>
        <v>360/348</v>
      </c>
      <c r="O4" s="184" t="str">
        <f t="shared" si="0"/>
        <v>372/360</v>
      </c>
      <c r="P4" s="184" t="str">
        <f t="shared" si="0"/>
        <v>384/372</v>
      </c>
      <c r="Q4" s="184" t="str">
        <f t="shared" si="0"/>
        <v>396/384</v>
      </c>
      <c r="R4" s="184" t="str">
        <f t="shared" si="0"/>
        <v>408/396</v>
      </c>
      <c r="S4" s="184" t="str">
        <f t="shared" ref="S4" si="1">LEFT(R4,3)+12&amp;"/"&amp;RIGHT(R4,3)+12</f>
        <v>420/408</v>
      </c>
      <c r="T4" s="184" t="str">
        <f t="shared" ref="T4" si="2">LEFT(S4,3)+12&amp;"/"&amp;RIGHT(S4,3)+12</f>
        <v>432/420</v>
      </c>
      <c r="U4" s="184" t="str">
        <f t="shared" ref="U4" si="3">LEFT(T4,3)+12&amp;"/"&amp;RIGHT(T4,3)+12</f>
        <v>444/432</v>
      </c>
      <c r="V4" s="184" t="str">
        <f t="shared" ref="V4" si="4">LEFT(U4,3)+12&amp;"/"&amp;RIGHT(U4,3)+12</f>
        <v>456/444</v>
      </c>
      <c r="W4" s="184" t="str">
        <f t="shared" ref="W4" si="5">LEFT(V4,3)+12&amp;"/"&amp;RIGHT(V4,3)+12</f>
        <v>468/456</v>
      </c>
      <c r="X4" s="184" t="str">
        <f>"ULT/"&amp;LEFT(W4,3)&amp;"Inc (b)"</f>
        <v>ULT/468Inc (b)</v>
      </c>
    </row>
    <row r="5" spans="1:24">
      <c r="A5" s="181">
        <f t="shared" ref="A5:A27" si="6">+A6-1</f>
        <v>1983</v>
      </c>
      <c r="B5" s="350" t="s">
        <v>31</v>
      </c>
      <c r="C5" s="350" t="s">
        <v>31</v>
      </c>
      <c r="D5" s="350" t="s">
        <v>31</v>
      </c>
      <c r="E5" s="350" t="s">
        <v>31</v>
      </c>
      <c r="F5" s="350" t="s">
        <v>31</v>
      </c>
      <c r="G5" s="350" t="s">
        <v>31</v>
      </c>
      <c r="H5" s="350" t="s">
        <v>31</v>
      </c>
      <c r="I5" s="350" t="s">
        <v>31</v>
      </c>
      <c r="J5" s="350" t="s">
        <v>31</v>
      </c>
      <c r="K5" s="350" t="s">
        <v>31</v>
      </c>
      <c r="L5" s="350">
        <v>1.0009999999999999</v>
      </c>
      <c r="M5" s="350">
        <v>1.0009999999999999</v>
      </c>
      <c r="N5" s="350">
        <v>1.0009999999999999</v>
      </c>
      <c r="O5" s="350">
        <v>1.0009999999999999</v>
      </c>
      <c r="P5" s="350">
        <v>1.0009999999999999</v>
      </c>
      <c r="Q5" s="350">
        <v>1</v>
      </c>
      <c r="R5" s="350">
        <v>1.0009999999999999</v>
      </c>
      <c r="S5" s="350">
        <v>1.0009999999999999</v>
      </c>
      <c r="T5" s="350">
        <v>1.0009999999999999</v>
      </c>
      <c r="U5" s="350">
        <v>1.0009999999999999</v>
      </c>
      <c r="V5" s="350">
        <v>1.0009999999999999</v>
      </c>
      <c r="W5" s="350">
        <v>1</v>
      </c>
      <c r="X5" s="185"/>
    </row>
    <row r="6" spans="1:24">
      <c r="A6" s="181">
        <f t="shared" si="6"/>
        <v>1984</v>
      </c>
      <c r="B6" s="350" t="s">
        <v>31</v>
      </c>
      <c r="C6" s="350" t="s">
        <v>31</v>
      </c>
      <c r="D6" s="350" t="s">
        <v>31</v>
      </c>
      <c r="E6" s="350" t="s">
        <v>31</v>
      </c>
      <c r="F6" s="350" t="s">
        <v>31</v>
      </c>
      <c r="G6" s="350" t="s">
        <v>31</v>
      </c>
      <c r="H6" s="350" t="s">
        <v>31</v>
      </c>
      <c r="I6" s="350" t="s">
        <v>31</v>
      </c>
      <c r="J6" s="350" t="s">
        <v>31</v>
      </c>
      <c r="K6" s="350">
        <v>1.0009999999999999</v>
      </c>
      <c r="L6" s="350">
        <v>1</v>
      </c>
      <c r="M6" s="350">
        <v>1.0009999999999999</v>
      </c>
      <c r="N6" s="350">
        <v>1.0009999999999999</v>
      </c>
      <c r="O6" s="350">
        <v>1</v>
      </c>
      <c r="P6" s="350">
        <v>0.999</v>
      </c>
      <c r="Q6" s="350">
        <v>1</v>
      </c>
      <c r="R6" s="350">
        <v>1</v>
      </c>
      <c r="S6" s="350">
        <v>1.0009999999999999</v>
      </c>
      <c r="T6" s="350">
        <v>1.0009999999999999</v>
      </c>
      <c r="U6" s="350">
        <v>1</v>
      </c>
      <c r="V6" s="350">
        <v>1.0009999999999999</v>
      </c>
      <c r="W6" s="350">
        <v>1</v>
      </c>
      <c r="X6" s="185"/>
    </row>
    <row r="7" spans="1:24">
      <c r="A7" s="181">
        <f t="shared" si="6"/>
        <v>1985</v>
      </c>
      <c r="B7" s="350" t="s">
        <v>31</v>
      </c>
      <c r="C7" s="350" t="s">
        <v>31</v>
      </c>
      <c r="D7" s="350" t="s">
        <v>31</v>
      </c>
      <c r="E7" s="350" t="s">
        <v>31</v>
      </c>
      <c r="F7" s="350" t="s">
        <v>31</v>
      </c>
      <c r="G7" s="350" t="s">
        <v>31</v>
      </c>
      <c r="H7" s="350" t="s">
        <v>31</v>
      </c>
      <c r="I7" s="350" t="s">
        <v>31</v>
      </c>
      <c r="J7" s="350">
        <v>1</v>
      </c>
      <c r="K7" s="350">
        <v>1.0009999999999999</v>
      </c>
      <c r="L7" s="350">
        <v>1.0009999999999999</v>
      </c>
      <c r="M7" s="350">
        <v>1.0009999999999999</v>
      </c>
      <c r="N7" s="350">
        <v>1.0009999999999999</v>
      </c>
      <c r="O7" s="350">
        <v>1</v>
      </c>
      <c r="P7" s="350">
        <v>1</v>
      </c>
      <c r="Q7" s="350">
        <v>1</v>
      </c>
      <c r="R7" s="350">
        <v>1</v>
      </c>
      <c r="S7" s="350">
        <v>1</v>
      </c>
      <c r="T7" s="350">
        <v>1</v>
      </c>
      <c r="U7" s="350">
        <v>1</v>
      </c>
      <c r="V7" s="350">
        <v>1</v>
      </c>
      <c r="W7" s="350">
        <v>1</v>
      </c>
      <c r="X7" s="185"/>
    </row>
    <row r="8" spans="1:24">
      <c r="A8" s="181">
        <f t="shared" si="6"/>
        <v>1986</v>
      </c>
      <c r="B8" s="350" t="s">
        <v>31</v>
      </c>
      <c r="C8" s="350" t="s">
        <v>31</v>
      </c>
      <c r="D8" s="350" t="s">
        <v>31</v>
      </c>
      <c r="E8" s="350" t="s">
        <v>31</v>
      </c>
      <c r="F8" s="350" t="s">
        <v>31</v>
      </c>
      <c r="G8" s="350" t="s">
        <v>31</v>
      </c>
      <c r="H8" s="350" t="s">
        <v>31</v>
      </c>
      <c r="I8" s="350">
        <v>1</v>
      </c>
      <c r="J8" s="350">
        <v>1.0009999999999999</v>
      </c>
      <c r="K8" s="350">
        <v>1.002</v>
      </c>
      <c r="L8" s="350">
        <v>1.0009999999999999</v>
      </c>
      <c r="M8" s="350">
        <v>1</v>
      </c>
      <c r="N8" s="350">
        <v>0.999</v>
      </c>
      <c r="O8" s="350">
        <v>1</v>
      </c>
      <c r="P8" s="350">
        <v>1</v>
      </c>
      <c r="Q8" s="350">
        <v>1</v>
      </c>
      <c r="R8" s="350">
        <v>1</v>
      </c>
      <c r="S8" s="350">
        <v>1.0009999999999999</v>
      </c>
      <c r="T8" s="350">
        <v>1</v>
      </c>
      <c r="U8" s="350">
        <v>1</v>
      </c>
      <c r="V8" s="350">
        <v>1</v>
      </c>
      <c r="W8" s="350" t="s">
        <v>31</v>
      </c>
      <c r="X8" s="185"/>
    </row>
    <row r="9" spans="1:24">
      <c r="A9" s="181">
        <f t="shared" si="6"/>
        <v>1987</v>
      </c>
      <c r="B9" s="350" t="s">
        <v>31</v>
      </c>
      <c r="C9" s="350" t="s">
        <v>31</v>
      </c>
      <c r="D9" s="350" t="s">
        <v>31</v>
      </c>
      <c r="E9" s="350" t="s">
        <v>31</v>
      </c>
      <c r="F9" s="350" t="s">
        <v>31</v>
      </c>
      <c r="G9" s="350" t="s">
        <v>31</v>
      </c>
      <c r="H9" s="350">
        <v>1</v>
      </c>
      <c r="I9" s="350">
        <v>1.0009999999999999</v>
      </c>
      <c r="J9" s="350">
        <v>1.002</v>
      </c>
      <c r="K9" s="350">
        <v>1</v>
      </c>
      <c r="L9" s="350">
        <v>1.0009999999999999</v>
      </c>
      <c r="M9" s="350">
        <v>1.0009999999999999</v>
      </c>
      <c r="N9" s="350">
        <v>1.0009999999999999</v>
      </c>
      <c r="O9" s="350">
        <v>1.0009999999999999</v>
      </c>
      <c r="P9" s="350">
        <v>1.0009999999999999</v>
      </c>
      <c r="Q9" s="350">
        <v>1</v>
      </c>
      <c r="R9" s="350">
        <v>1.0009999999999999</v>
      </c>
      <c r="S9" s="350">
        <v>1</v>
      </c>
      <c r="T9" s="350">
        <v>1</v>
      </c>
      <c r="U9" s="350">
        <v>1.0009999999999999</v>
      </c>
      <c r="V9" s="350" t="s">
        <v>31</v>
      </c>
      <c r="W9" s="350" t="s">
        <v>31</v>
      </c>
      <c r="X9" s="185"/>
    </row>
    <row r="10" spans="1:24">
      <c r="A10" s="181">
        <f t="shared" si="6"/>
        <v>1988</v>
      </c>
      <c r="B10" s="350" t="s">
        <v>31</v>
      </c>
      <c r="C10" s="350" t="s">
        <v>31</v>
      </c>
      <c r="D10" s="350" t="s">
        <v>31</v>
      </c>
      <c r="E10" s="350" t="s">
        <v>31</v>
      </c>
      <c r="F10" s="350" t="s">
        <v>31</v>
      </c>
      <c r="G10" s="350">
        <v>1.0009999999999999</v>
      </c>
      <c r="H10" s="350">
        <v>1.002</v>
      </c>
      <c r="I10" s="350">
        <v>1.0009999999999999</v>
      </c>
      <c r="J10" s="350">
        <v>1</v>
      </c>
      <c r="K10" s="350">
        <v>1</v>
      </c>
      <c r="L10" s="350">
        <v>1</v>
      </c>
      <c r="M10" s="350">
        <v>1</v>
      </c>
      <c r="N10" s="350">
        <v>1</v>
      </c>
      <c r="O10" s="350">
        <v>1</v>
      </c>
      <c r="P10" s="350">
        <v>1.0009999999999999</v>
      </c>
      <c r="Q10" s="350">
        <v>1.0009999999999999</v>
      </c>
      <c r="R10" s="350">
        <v>1</v>
      </c>
      <c r="S10" s="350">
        <v>1</v>
      </c>
      <c r="T10" s="350">
        <v>1</v>
      </c>
      <c r="U10" s="350" t="s">
        <v>31</v>
      </c>
      <c r="V10" s="350" t="s">
        <v>31</v>
      </c>
      <c r="W10" s="350" t="s">
        <v>31</v>
      </c>
      <c r="X10" s="185"/>
    </row>
    <row r="11" spans="1:24">
      <c r="A11" s="181">
        <f t="shared" si="6"/>
        <v>1989</v>
      </c>
      <c r="B11" s="350" t="s">
        <v>31</v>
      </c>
      <c r="C11" s="350" t="s">
        <v>31</v>
      </c>
      <c r="D11" s="350" t="s">
        <v>31</v>
      </c>
      <c r="E11" s="350" t="s">
        <v>31</v>
      </c>
      <c r="F11" s="350">
        <v>1</v>
      </c>
      <c r="G11" s="350">
        <v>1.0009999999999999</v>
      </c>
      <c r="H11" s="350">
        <v>1</v>
      </c>
      <c r="I11" s="350">
        <v>1</v>
      </c>
      <c r="J11" s="350">
        <v>1</v>
      </c>
      <c r="K11" s="350">
        <v>1.0009999999999999</v>
      </c>
      <c r="L11" s="350">
        <v>1</v>
      </c>
      <c r="M11" s="350">
        <v>1</v>
      </c>
      <c r="N11" s="350">
        <v>1</v>
      </c>
      <c r="O11" s="350">
        <v>1</v>
      </c>
      <c r="P11" s="350">
        <v>1</v>
      </c>
      <c r="Q11" s="350">
        <v>1</v>
      </c>
      <c r="R11" s="350">
        <v>1</v>
      </c>
      <c r="S11" s="350">
        <v>1</v>
      </c>
      <c r="T11" s="350" t="s">
        <v>31</v>
      </c>
      <c r="U11" s="350" t="s">
        <v>31</v>
      </c>
      <c r="V11" s="350" t="s">
        <v>31</v>
      </c>
      <c r="W11" s="350" t="s">
        <v>31</v>
      </c>
      <c r="X11" s="185"/>
    </row>
    <row r="12" spans="1:24">
      <c r="A12" s="181">
        <f t="shared" si="6"/>
        <v>1990</v>
      </c>
      <c r="B12" s="350" t="s">
        <v>31</v>
      </c>
      <c r="C12" s="350" t="s">
        <v>31</v>
      </c>
      <c r="D12" s="350" t="s">
        <v>31</v>
      </c>
      <c r="E12" s="350">
        <v>0.999</v>
      </c>
      <c r="F12" s="350">
        <v>1.0009999999999999</v>
      </c>
      <c r="G12" s="350">
        <v>1</v>
      </c>
      <c r="H12" s="350">
        <v>1</v>
      </c>
      <c r="I12" s="350">
        <v>1</v>
      </c>
      <c r="J12" s="350">
        <v>1</v>
      </c>
      <c r="K12" s="350">
        <v>1</v>
      </c>
      <c r="L12" s="350">
        <v>1</v>
      </c>
      <c r="M12" s="350">
        <v>1.0009999999999999</v>
      </c>
      <c r="N12" s="350">
        <v>1</v>
      </c>
      <c r="O12" s="350">
        <v>1.0009999999999999</v>
      </c>
      <c r="P12" s="350">
        <v>1</v>
      </c>
      <c r="Q12" s="350">
        <v>1</v>
      </c>
      <c r="R12" s="350">
        <v>1</v>
      </c>
      <c r="S12" s="350" t="s">
        <v>31</v>
      </c>
      <c r="T12" s="350" t="s">
        <v>31</v>
      </c>
      <c r="U12" s="350" t="s">
        <v>31</v>
      </c>
      <c r="V12" s="350" t="s">
        <v>31</v>
      </c>
      <c r="W12" s="350" t="s">
        <v>31</v>
      </c>
      <c r="X12" s="185"/>
    </row>
    <row r="13" spans="1:24">
      <c r="A13" s="181">
        <f t="shared" si="6"/>
        <v>1991</v>
      </c>
      <c r="B13" s="350" t="s">
        <v>31</v>
      </c>
      <c r="C13" s="350" t="s">
        <v>31</v>
      </c>
      <c r="D13" s="350">
        <v>1.0009999999999999</v>
      </c>
      <c r="E13" s="350">
        <v>1</v>
      </c>
      <c r="F13" s="350">
        <v>1</v>
      </c>
      <c r="G13" s="350">
        <v>1</v>
      </c>
      <c r="H13" s="350">
        <v>1</v>
      </c>
      <c r="I13" s="350">
        <v>1</v>
      </c>
      <c r="J13" s="350">
        <v>1</v>
      </c>
      <c r="K13" s="350">
        <v>1</v>
      </c>
      <c r="L13" s="350">
        <v>1</v>
      </c>
      <c r="M13" s="350">
        <v>1.0009999999999999</v>
      </c>
      <c r="N13" s="350">
        <v>1.0009999999999999</v>
      </c>
      <c r="O13" s="350">
        <v>1.0009999999999999</v>
      </c>
      <c r="P13" s="350">
        <v>1</v>
      </c>
      <c r="Q13" s="350">
        <v>1</v>
      </c>
      <c r="R13" s="350" t="s">
        <v>31</v>
      </c>
      <c r="S13" s="350" t="s">
        <v>31</v>
      </c>
      <c r="T13" s="350" t="s">
        <v>31</v>
      </c>
      <c r="U13" s="350" t="s">
        <v>31</v>
      </c>
      <c r="V13" s="350" t="s">
        <v>31</v>
      </c>
      <c r="W13" s="350" t="s">
        <v>31</v>
      </c>
      <c r="X13" s="185"/>
    </row>
    <row r="14" spans="1:24">
      <c r="A14" s="181">
        <f t="shared" si="6"/>
        <v>1992</v>
      </c>
      <c r="B14" s="350" t="s">
        <v>31</v>
      </c>
      <c r="C14" s="350">
        <v>1.0009999999999999</v>
      </c>
      <c r="D14" s="350">
        <v>1.0009999999999999</v>
      </c>
      <c r="E14" s="350">
        <v>1</v>
      </c>
      <c r="F14" s="350">
        <v>1.0009999999999999</v>
      </c>
      <c r="G14" s="350">
        <v>1.0009999999999999</v>
      </c>
      <c r="H14" s="350">
        <v>1</v>
      </c>
      <c r="I14" s="350">
        <v>1</v>
      </c>
      <c r="J14" s="350">
        <v>1</v>
      </c>
      <c r="K14" s="350">
        <v>1</v>
      </c>
      <c r="L14" s="350">
        <v>1.0009999999999999</v>
      </c>
      <c r="M14" s="350">
        <v>1.0009999999999999</v>
      </c>
      <c r="N14" s="350">
        <v>1</v>
      </c>
      <c r="O14" s="350">
        <v>1</v>
      </c>
      <c r="P14" s="350">
        <v>1</v>
      </c>
      <c r="Q14" s="350" t="s">
        <v>31</v>
      </c>
      <c r="R14" s="350" t="s">
        <v>31</v>
      </c>
      <c r="S14" s="350" t="s">
        <v>31</v>
      </c>
      <c r="T14" s="350" t="s">
        <v>31</v>
      </c>
      <c r="U14" s="350" t="s">
        <v>31</v>
      </c>
      <c r="V14" s="350" t="s">
        <v>31</v>
      </c>
      <c r="W14" s="350" t="s">
        <v>31</v>
      </c>
      <c r="X14" s="185"/>
    </row>
    <row r="15" spans="1:24">
      <c r="A15" s="181">
        <f t="shared" si="6"/>
        <v>1993</v>
      </c>
      <c r="B15" s="350">
        <v>0.999</v>
      </c>
      <c r="C15" s="350">
        <v>1.0009999999999999</v>
      </c>
      <c r="D15" s="350">
        <v>1.0009999999999999</v>
      </c>
      <c r="E15" s="350">
        <v>1.0009999999999999</v>
      </c>
      <c r="F15" s="350">
        <v>1.0009999999999999</v>
      </c>
      <c r="G15" s="350">
        <v>1</v>
      </c>
      <c r="H15" s="350">
        <v>1</v>
      </c>
      <c r="I15" s="350">
        <v>1</v>
      </c>
      <c r="J15" s="350">
        <v>1</v>
      </c>
      <c r="K15" s="350">
        <v>1.0009999999999999</v>
      </c>
      <c r="L15" s="350">
        <v>1</v>
      </c>
      <c r="M15" s="350">
        <v>1.0009999999999999</v>
      </c>
      <c r="N15" s="350">
        <v>0.999</v>
      </c>
      <c r="O15" s="350">
        <v>1</v>
      </c>
      <c r="P15" s="350" t="s">
        <v>31</v>
      </c>
      <c r="Q15" s="350" t="s">
        <v>31</v>
      </c>
      <c r="R15" s="350" t="s">
        <v>31</v>
      </c>
      <c r="S15" s="350" t="s">
        <v>31</v>
      </c>
      <c r="T15" s="350" t="s">
        <v>31</v>
      </c>
      <c r="U15" s="350" t="s">
        <v>31</v>
      </c>
      <c r="V15" s="350" t="s">
        <v>31</v>
      </c>
      <c r="W15" s="350" t="s">
        <v>31</v>
      </c>
    </row>
    <row r="16" spans="1:24" ht="12.75" customHeight="1">
      <c r="A16" s="181">
        <f t="shared" si="6"/>
        <v>1994</v>
      </c>
      <c r="B16" s="350">
        <v>1.0009999999999999</v>
      </c>
      <c r="C16" s="350">
        <v>1.0009999999999999</v>
      </c>
      <c r="D16" s="350">
        <v>1.002</v>
      </c>
      <c r="E16" s="350">
        <v>1</v>
      </c>
      <c r="F16" s="350">
        <v>1.0009999999999999</v>
      </c>
      <c r="G16" s="350">
        <v>1.0009999999999999</v>
      </c>
      <c r="H16" s="350">
        <v>0.999</v>
      </c>
      <c r="I16" s="350">
        <v>1.0009999999999999</v>
      </c>
      <c r="J16" s="350">
        <v>1.0009999999999999</v>
      </c>
      <c r="K16" s="350">
        <v>1.0009999999999999</v>
      </c>
      <c r="L16" s="350">
        <v>1</v>
      </c>
      <c r="M16" s="350">
        <v>1</v>
      </c>
      <c r="N16" s="350">
        <v>1</v>
      </c>
      <c r="O16" s="350" t="s">
        <v>31</v>
      </c>
      <c r="P16" s="350" t="s">
        <v>31</v>
      </c>
      <c r="Q16" s="350" t="s">
        <v>31</v>
      </c>
      <c r="R16" s="350" t="s">
        <v>31</v>
      </c>
      <c r="S16" s="350" t="s">
        <v>31</v>
      </c>
      <c r="T16" s="350" t="s">
        <v>31</v>
      </c>
      <c r="U16" s="350" t="s">
        <v>31</v>
      </c>
      <c r="V16" s="350" t="s">
        <v>31</v>
      </c>
      <c r="W16" s="350" t="s">
        <v>31</v>
      </c>
    </row>
    <row r="17" spans="1:24" ht="12.75" customHeight="1">
      <c r="A17" s="181">
        <f t="shared" si="6"/>
        <v>1995</v>
      </c>
      <c r="B17" s="350">
        <v>1.0029999999999999</v>
      </c>
      <c r="C17" s="350">
        <v>1.0009999999999999</v>
      </c>
      <c r="D17" s="350">
        <v>0.998</v>
      </c>
      <c r="E17" s="350">
        <v>1.0009999999999999</v>
      </c>
      <c r="F17" s="350">
        <v>1</v>
      </c>
      <c r="G17" s="350">
        <v>1.0009999999999999</v>
      </c>
      <c r="H17" s="350">
        <v>1</v>
      </c>
      <c r="I17" s="350">
        <v>1.0009999999999999</v>
      </c>
      <c r="J17" s="350">
        <v>1.0009999999999999</v>
      </c>
      <c r="K17" s="350">
        <v>1</v>
      </c>
      <c r="L17" s="350">
        <v>1.0009999999999999</v>
      </c>
      <c r="M17" s="350">
        <v>1</v>
      </c>
      <c r="N17" s="350" t="s">
        <v>31</v>
      </c>
      <c r="O17" s="350" t="s">
        <v>31</v>
      </c>
      <c r="P17" s="350" t="s">
        <v>31</v>
      </c>
      <c r="Q17" s="350" t="s">
        <v>31</v>
      </c>
      <c r="R17" s="350" t="s">
        <v>31</v>
      </c>
      <c r="S17" s="350" t="s">
        <v>31</v>
      </c>
      <c r="T17" s="350" t="s">
        <v>31</v>
      </c>
      <c r="U17" s="350" t="s">
        <v>31</v>
      </c>
      <c r="V17" s="350" t="s">
        <v>31</v>
      </c>
      <c r="W17" s="350" t="s">
        <v>31</v>
      </c>
    </row>
    <row r="18" spans="1:24" ht="12.75" customHeight="1">
      <c r="A18" s="181">
        <f t="shared" si="6"/>
        <v>1996</v>
      </c>
      <c r="B18" s="350">
        <v>1.0029999999999999</v>
      </c>
      <c r="C18" s="350">
        <v>1</v>
      </c>
      <c r="D18" s="350">
        <v>1</v>
      </c>
      <c r="E18" s="350">
        <v>1</v>
      </c>
      <c r="F18" s="350">
        <v>1.0009999999999999</v>
      </c>
      <c r="G18" s="350">
        <v>1.0009999999999999</v>
      </c>
      <c r="H18" s="350">
        <v>1.002</v>
      </c>
      <c r="I18" s="350">
        <v>1.0009999999999999</v>
      </c>
      <c r="J18" s="350">
        <v>1.0009999999999999</v>
      </c>
      <c r="K18" s="350">
        <v>1</v>
      </c>
      <c r="L18" s="350">
        <v>1.0009999999999999</v>
      </c>
      <c r="M18" s="350" t="s">
        <v>31</v>
      </c>
      <c r="N18" s="350" t="s">
        <v>31</v>
      </c>
      <c r="O18" s="350" t="s">
        <v>31</v>
      </c>
      <c r="P18" s="350" t="s">
        <v>31</v>
      </c>
      <c r="Q18" s="350" t="s">
        <v>31</v>
      </c>
      <c r="R18" s="350" t="s">
        <v>31</v>
      </c>
      <c r="S18" s="350" t="s">
        <v>31</v>
      </c>
      <c r="T18" s="350" t="s">
        <v>31</v>
      </c>
      <c r="U18" s="350" t="s">
        <v>31</v>
      </c>
      <c r="V18" s="350" t="s">
        <v>31</v>
      </c>
      <c r="W18" s="350" t="s">
        <v>31</v>
      </c>
    </row>
    <row r="19" spans="1:24" ht="12.75" customHeight="1">
      <c r="A19" s="181">
        <f t="shared" si="6"/>
        <v>1997</v>
      </c>
      <c r="B19" s="350">
        <v>1</v>
      </c>
      <c r="C19" s="350">
        <v>1</v>
      </c>
      <c r="D19" s="350">
        <v>1</v>
      </c>
      <c r="E19" s="350">
        <v>1</v>
      </c>
      <c r="F19" s="350">
        <v>1.0009999999999999</v>
      </c>
      <c r="G19" s="350">
        <v>1.0009999999999999</v>
      </c>
      <c r="H19" s="350">
        <v>1.0009999999999999</v>
      </c>
      <c r="I19" s="350">
        <v>1</v>
      </c>
      <c r="J19" s="350">
        <v>1</v>
      </c>
      <c r="K19" s="350">
        <v>1</v>
      </c>
      <c r="L19" s="350" t="s">
        <v>31</v>
      </c>
      <c r="M19" s="350" t="s">
        <v>31</v>
      </c>
      <c r="N19" s="350" t="s">
        <v>31</v>
      </c>
      <c r="O19" s="350" t="s">
        <v>31</v>
      </c>
      <c r="P19" s="350" t="s">
        <v>31</v>
      </c>
      <c r="Q19" s="350" t="s">
        <v>31</v>
      </c>
      <c r="R19" s="350" t="s">
        <v>31</v>
      </c>
      <c r="S19" s="350" t="s">
        <v>31</v>
      </c>
      <c r="T19" s="350" t="s">
        <v>31</v>
      </c>
      <c r="U19" s="350" t="s">
        <v>31</v>
      </c>
      <c r="V19" s="350" t="s">
        <v>31</v>
      </c>
      <c r="W19" s="350" t="s">
        <v>31</v>
      </c>
    </row>
    <row r="20" spans="1:24" ht="12.75" customHeight="1">
      <c r="A20" s="181">
        <f t="shared" si="6"/>
        <v>1998</v>
      </c>
      <c r="B20" s="350">
        <v>1.0029999999999999</v>
      </c>
      <c r="C20" s="350">
        <v>1.0009999999999999</v>
      </c>
      <c r="D20" s="350">
        <v>1.0009999999999999</v>
      </c>
      <c r="E20" s="350">
        <v>1</v>
      </c>
      <c r="F20" s="350">
        <v>1.0009999999999999</v>
      </c>
      <c r="G20" s="350">
        <v>1.0009999999999999</v>
      </c>
      <c r="H20" s="350">
        <v>1.0009999999999999</v>
      </c>
      <c r="I20" s="350">
        <v>1</v>
      </c>
      <c r="J20" s="350">
        <v>1</v>
      </c>
      <c r="K20" s="350" t="s">
        <v>31</v>
      </c>
      <c r="L20" s="350" t="s">
        <v>31</v>
      </c>
      <c r="M20" s="350" t="s">
        <v>31</v>
      </c>
      <c r="N20" s="350" t="s">
        <v>31</v>
      </c>
      <c r="O20" s="350" t="s">
        <v>31</v>
      </c>
      <c r="P20" s="350" t="s">
        <v>31</v>
      </c>
      <c r="Q20" s="350" t="s">
        <v>31</v>
      </c>
      <c r="R20" s="350" t="s">
        <v>31</v>
      </c>
      <c r="S20" s="350" t="s">
        <v>31</v>
      </c>
      <c r="T20" s="350" t="s">
        <v>31</v>
      </c>
      <c r="U20" s="350" t="s">
        <v>31</v>
      </c>
      <c r="V20" s="350" t="s">
        <v>31</v>
      </c>
      <c r="W20" s="350" t="s">
        <v>31</v>
      </c>
    </row>
    <row r="21" spans="1:24" ht="12.75" customHeight="1">
      <c r="A21" s="181">
        <f t="shared" si="6"/>
        <v>1999</v>
      </c>
      <c r="B21" s="350">
        <v>1</v>
      </c>
      <c r="C21" s="350">
        <v>1</v>
      </c>
      <c r="D21" s="350">
        <v>1.002</v>
      </c>
      <c r="E21" s="350">
        <v>1.002</v>
      </c>
      <c r="F21" s="350">
        <v>1</v>
      </c>
      <c r="G21" s="350">
        <v>1</v>
      </c>
      <c r="H21" s="350">
        <v>1</v>
      </c>
      <c r="I21" s="350">
        <v>1</v>
      </c>
      <c r="J21" s="350" t="s">
        <v>31</v>
      </c>
      <c r="K21" s="350" t="s">
        <v>31</v>
      </c>
      <c r="L21" s="350" t="s">
        <v>31</v>
      </c>
      <c r="M21" s="350" t="s">
        <v>31</v>
      </c>
      <c r="N21" s="350" t="s">
        <v>31</v>
      </c>
      <c r="O21" s="350" t="s">
        <v>31</v>
      </c>
      <c r="P21" s="350" t="s">
        <v>31</v>
      </c>
      <c r="Q21" s="350" t="s">
        <v>31</v>
      </c>
      <c r="R21" s="350" t="s">
        <v>31</v>
      </c>
      <c r="S21" s="350" t="s">
        <v>31</v>
      </c>
      <c r="T21" s="350" t="s">
        <v>31</v>
      </c>
      <c r="U21" s="350" t="s">
        <v>31</v>
      </c>
      <c r="V21" s="350" t="s">
        <v>31</v>
      </c>
      <c r="W21" s="350" t="s">
        <v>31</v>
      </c>
    </row>
    <row r="22" spans="1:24" ht="12.75" customHeight="1">
      <c r="A22" s="181">
        <f t="shared" si="6"/>
        <v>2000</v>
      </c>
      <c r="B22" s="350">
        <v>1.002</v>
      </c>
      <c r="C22" s="350">
        <v>1.0009999999999999</v>
      </c>
      <c r="D22" s="350">
        <v>1.0009999999999999</v>
      </c>
      <c r="E22" s="350">
        <v>1.002</v>
      </c>
      <c r="F22" s="350">
        <v>1</v>
      </c>
      <c r="G22" s="350">
        <v>1</v>
      </c>
      <c r="H22" s="350">
        <v>1.0009999999999999</v>
      </c>
      <c r="I22" s="350" t="s">
        <v>31</v>
      </c>
      <c r="J22" s="350" t="s">
        <v>31</v>
      </c>
      <c r="K22" s="350" t="s">
        <v>31</v>
      </c>
      <c r="L22" s="350" t="s">
        <v>31</v>
      </c>
      <c r="M22" s="350" t="s">
        <v>31</v>
      </c>
      <c r="N22" s="350" t="s">
        <v>31</v>
      </c>
      <c r="O22" s="350" t="s">
        <v>31</v>
      </c>
      <c r="P22" s="350" t="s">
        <v>31</v>
      </c>
      <c r="Q22" s="350" t="s">
        <v>31</v>
      </c>
      <c r="R22" s="350" t="s">
        <v>31</v>
      </c>
      <c r="S22" s="350" t="s">
        <v>31</v>
      </c>
      <c r="T22" s="350" t="s">
        <v>31</v>
      </c>
      <c r="U22" s="350" t="s">
        <v>31</v>
      </c>
      <c r="V22" s="350" t="s">
        <v>31</v>
      </c>
      <c r="W22" s="350" t="s">
        <v>31</v>
      </c>
    </row>
    <row r="23" spans="1:24" ht="12.75" customHeight="1">
      <c r="A23" s="181">
        <f t="shared" si="6"/>
        <v>2001</v>
      </c>
      <c r="B23" s="350">
        <v>1.0009999999999999</v>
      </c>
      <c r="C23" s="350">
        <v>1.002</v>
      </c>
      <c r="D23" s="350">
        <v>1.0009999999999999</v>
      </c>
      <c r="E23" s="350">
        <v>1.0009999999999999</v>
      </c>
      <c r="F23" s="350">
        <v>1</v>
      </c>
      <c r="G23" s="350">
        <v>1.0009999999999999</v>
      </c>
      <c r="H23" s="350" t="s">
        <v>31</v>
      </c>
      <c r="I23" s="350" t="s">
        <v>31</v>
      </c>
      <c r="J23" s="350" t="s">
        <v>31</v>
      </c>
      <c r="K23" s="350" t="s">
        <v>31</v>
      </c>
      <c r="L23" s="350" t="s">
        <v>31</v>
      </c>
      <c r="M23" s="350" t="s">
        <v>31</v>
      </c>
      <c r="N23" s="350" t="s">
        <v>31</v>
      </c>
      <c r="O23" s="350" t="s">
        <v>31</v>
      </c>
      <c r="P23" s="350" t="s">
        <v>31</v>
      </c>
      <c r="Q23" s="350" t="s">
        <v>31</v>
      </c>
      <c r="R23" s="350" t="s">
        <v>31</v>
      </c>
      <c r="S23" s="350" t="s">
        <v>31</v>
      </c>
      <c r="T23" s="350" t="s">
        <v>31</v>
      </c>
      <c r="U23" s="350" t="s">
        <v>31</v>
      </c>
      <c r="V23" s="350" t="s">
        <v>31</v>
      </c>
      <c r="W23" s="350" t="s">
        <v>31</v>
      </c>
    </row>
    <row r="24" spans="1:24" ht="12.75" customHeight="1">
      <c r="A24" s="181">
        <f t="shared" si="6"/>
        <v>2002</v>
      </c>
      <c r="B24" s="350">
        <v>1.0009999999999999</v>
      </c>
      <c r="C24" s="350">
        <v>1.0029999999999999</v>
      </c>
      <c r="D24" s="350">
        <v>1.0009999999999999</v>
      </c>
      <c r="E24" s="350">
        <v>1</v>
      </c>
      <c r="F24" s="350">
        <v>1</v>
      </c>
      <c r="G24" s="350" t="s">
        <v>31</v>
      </c>
      <c r="H24" s="350" t="s">
        <v>31</v>
      </c>
      <c r="I24" s="350" t="s">
        <v>31</v>
      </c>
      <c r="J24" s="350" t="s">
        <v>31</v>
      </c>
      <c r="K24" s="350" t="s">
        <v>31</v>
      </c>
      <c r="L24" s="350" t="s">
        <v>31</v>
      </c>
      <c r="M24" s="350" t="s">
        <v>31</v>
      </c>
      <c r="N24" s="350" t="s">
        <v>31</v>
      </c>
      <c r="O24" s="350" t="s">
        <v>31</v>
      </c>
      <c r="P24" s="350" t="s">
        <v>31</v>
      </c>
      <c r="Q24" s="350" t="s">
        <v>31</v>
      </c>
      <c r="R24" s="350" t="s">
        <v>31</v>
      </c>
      <c r="S24" s="350" t="s">
        <v>31</v>
      </c>
      <c r="T24" s="350" t="s">
        <v>31</v>
      </c>
      <c r="U24" s="350" t="s">
        <v>31</v>
      </c>
      <c r="V24" s="350" t="s">
        <v>31</v>
      </c>
      <c r="W24" s="350" t="s">
        <v>31</v>
      </c>
    </row>
    <row r="25" spans="1:24" ht="12.75" customHeight="1">
      <c r="A25" s="181">
        <f t="shared" si="6"/>
        <v>2003</v>
      </c>
      <c r="B25" s="350">
        <v>1.002</v>
      </c>
      <c r="C25" s="350">
        <v>1.002</v>
      </c>
      <c r="D25" s="350">
        <v>1.0029999999999999</v>
      </c>
      <c r="E25" s="350">
        <v>1</v>
      </c>
      <c r="F25" s="350" t="s">
        <v>31</v>
      </c>
      <c r="G25" s="350" t="s">
        <v>31</v>
      </c>
      <c r="H25" s="350" t="s">
        <v>31</v>
      </c>
      <c r="I25" s="350" t="s">
        <v>31</v>
      </c>
      <c r="J25" s="350" t="s">
        <v>31</v>
      </c>
      <c r="K25" s="350" t="s">
        <v>31</v>
      </c>
      <c r="L25" s="350" t="s">
        <v>31</v>
      </c>
      <c r="M25" s="350" t="s">
        <v>31</v>
      </c>
      <c r="N25" s="350" t="s">
        <v>31</v>
      </c>
      <c r="O25" s="350" t="s">
        <v>31</v>
      </c>
      <c r="P25" s="350" t="s">
        <v>31</v>
      </c>
      <c r="Q25" s="350" t="s">
        <v>31</v>
      </c>
      <c r="R25" s="350" t="s">
        <v>31</v>
      </c>
      <c r="S25" s="350" t="s">
        <v>31</v>
      </c>
      <c r="T25" s="350" t="s">
        <v>31</v>
      </c>
      <c r="U25" s="350" t="s">
        <v>31</v>
      </c>
      <c r="V25" s="350" t="s">
        <v>31</v>
      </c>
      <c r="W25" s="350" t="s">
        <v>31</v>
      </c>
    </row>
    <row r="26" spans="1:24" ht="12.75" customHeight="1">
      <c r="A26" s="181">
        <f t="shared" si="6"/>
        <v>2004</v>
      </c>
      <c r="B26" s="350">
        <v>1.0009999999999999</v>
      </c>
      <c r="C26" s="350">
        <v>1.0009999999999999</v>
      </c>
      <c r="D26" s="350">
        <v>1.0009999999999999</v>
      </c>
      <c r="E26" s="350" t="s">
        <v>31</v>
      </c>
      <c r="F26" s="350" t="s">
        <v>31</v>
      </c>
      <c r="G26" s="350" t="s">
        <v>31</v>
      </c>
      <c r="H26" s="350" t="s">
        <v>31</v>
      </c>
      <c r="I26" s="350" t="s">
        <v>31</v>
      </c>
      <c r="J26" s="350" t="s">
        <v>31</v>
      </c>
      <c r="K26" s="350" t="s">
        <v>31</v>
      </c>
      <c r="L26" s="350" t="s">
        <v>31</v>
      </c>
      <c r="M26" s="350" t="s">
        <v>31</v>
      </c>
      <c r="N26" s="350" t="s">
        <v>31</v>
      </c>
      <c r="O26" s="350" t="s">
        <v>31</v>
      </c>
      <c r="P26" s="350" t="s">
        <v>31</v>
      </c>
      <c r="Q26" s="350" t="s">
        <v>31</v>
      </c>
      <c r="R26" s="350" t="s">
        <v>31</v>
      </c>
      <c r="S26" s="350" t="s">
        <v>31</v>
      </c>
      <c r="T26" s="350" t="s">
        <v>31</v>
      </c>
      <c r="U26" s="350" t="s">
        <v>31</v>
      </c>
      <c r="V26" s="350" t="s">
        <v>31</v>
      </c>
      <c r="W26" s="350" t="s">
        <v>31</v>
      </c>
    </row>
    <row r="27" spans="1:24" ht="12.75" customHeight="1">
      <c r="A27" s="181">
        <f t="shared" si="6"/>
        <v>2005</v>
      </c>
      <c r="B27" s="350">
        <v>1.0029999999999999</v>
      </c>
      <c r="C27" s="350">
        <v>1.0009999999999999</v>
      </c>
      <c r="D27" s="350" t="s">
        <v>31</v>
      </c>
      <c r="E27" s="350" t="s">
        <v>31</v>
      </c>
      <c r="F27" s="350" t="s">
        <v>31</v>
      </c>
      <c r="G27" s="350" t="s">
        <v>31</v>
      </c>
      <c r="H27" s="350" t="s">
        <v>31</v>
      </c>
      <c r="I27" s="350" t="s">
        <v>31</v>
      </c>
      <c r="J27" s="350" t="s">
        <v>31</v>
      </c>
      <c r="K27" s="350" t="s">
        <v>31</v>
      </c>
      <c r="L27" s="350" t="s">
        <v>31</v>
      </c>
      <c r="M27" s="350" t="s">
        <v>31</v>
      </c>
      <c r="N27" s="350" t="s">
        <v>31</v>
      </c>
      <c r="O27" s="350" t="s">
        <v>31</v>
      </c>
      <c r="P27" s="350" t="s">
        <v>31</v>
      </c>
      <c r="Q27" s="350" t="s">
        <v>31</v>
      </c>
      <c r="R27" s="350" t="s">
        <v>31</v>
      </c>
      <c r="S27" s="350" t="s">
        <v>31</v>
      </c>
      <c r="T27" s="350" t="s">
        <v>31</v>
      </c>
      <c r="U27" s="350" t="s">
        <v>31</v>
      </c>
      <c r="V27" s="350" t="s">
        <v>31</v>
      </c>
      <c r="W27" s="350" t="s">
        <v>31</v>
      </c>
    </row>
    <row r="28" spans="1:24" ht="12.75" customHeight="1">
      <c r="A28" s="181">
        <f>'Exhibit 2.1.1'!A15</f>
        <v>2006</v>
      </c>
      <c r="B28" s="350">
        <v>1.0029999999999999</v>
      </c>
      <c r="C28" s="350" t="s">
        <v>31</v>
      </c>
      <c r="D28" s="350" t="s">
        <v>31</v>
      </c>
      <c r="E28" s="350" t="s">
        <v>31</v>
      </c>
      <c r="F28" s="350" t="s">
        <v>31</v>
      </c>
      <c r="G28" s="350" t="s">
        <v>31</v>
      </c>
      <c r="H28" s="350" t="s">
        <v>31</v>
      </c>
      <c r="I28" s="350" t="s">
        <v>31</v>
      </c>
      <c r="J28" s="350" t="s">
        <v>31</v>
      </c>
      <c r="K28" s="350" t="s">
        <v>31</v>
      </c>
      <c r="L28" s="350" t="s">
        <v>31</v>
      </c>
      <c r="M28" s="350" t="s">
        <v>31</v>
      </c>
      <c r="N28" s="350" t="s">
        <v>31</v>
      </c>
      <c r="O28" s="350" t="s">
        <v>31</v>
      </c>
      <c r="P28" s="350" t="s">
        <v>31</v>
      </c>
      <c r="Q28" s="350" t="s">
        <v>31</v>
      </c>
      <c r="R28" s="350" t="s">
        <v>31</v>
      </c>
      <c r="S28" s="350" t="s">
        <v>31</v>
      </c>
      <c r="T28" s="350" t="s">
        <v>31</v>
      </c>
      <c r="U28" s="350" t="s">
        <v>31</v>
      </c>
      <c r="V28" s="350" t="s">
        <v>31</v>
      </c>
      <c r="W28" s="350" t="s">
        <v>31</v>
      </c>
    </row>
    <row r="29" spans="1:24">
      <c r="A29" s="283"/>
      <c r="B29" s="183"/>
      <c r="C29" s="183"/>
      <c r="D29" s="183"/>
      <c r="E29" s="183"/>
      <c r="F29" s="183"/>
      <c r="G29" s="183"/>
      <c r="H29" s="183"/>
      <c r="I29" s="183"/>
      <c r="J29" s="183"/>
      <c r="K29" s="183"/>
      <c r="L29" s="183"/>
      <c r="M29" s="183"/>
      <c r="N29" s="183"/>
      <c r="O29" s="183"/>
      <c r="P29" s="183"/>
      <c r="Q29" s="54"/>
      <c r="R29" s="183"/>
      <c r="S29" s="183"/>
      <c r="T29" s="183"/>
      <c r="U29" s="183"/>
      <c r="V29" s="183"/>
      <c r="W29" s="183"/>
    </row>
    <row r="30" spans="1:24">
      <c r="A30" s="283"/>
      <c r="B30" s="183"/>
      <c r="C30" s="183"/>
      <c r="D30" s="183"/>
      <c r="E30" s="183"/>
      <c r="F30" s="183"/>
      <c r="G30" s="183"/>
      <c r="H30" s="183"/>
      <c r="I30" s="183"/>
      <c r="J30" s="183"/>
      <c r="K30" s="183"/>
      <c r="L30" s="183"/>
      <c r="M30" s="183"/>
      <c r="N30" s="183"/>
      <c r="O30" s="183"/>
      <c r="P30" s="183"/>
      <c r="Q30" s="54"/>
      <c r="R30" s="183"/>
      <c r="S30" s="183"/>
      <c r="T30" s="183"/>
      <c r="U30" s="183"/>
      <c r="V30" s="183"/>
      <c r="W30" s="183"/>
    </row>
    <row r="31" spans="1:24">
      <c r="A31" s="181" t="s">
        <v>20</v>
      </c>
      <c r="B31" s="351">
        <f>AVERAGE(B23:B28)</f>
        <v>1.0018333333333331</v>
      </c>
      <c r="C31" s="351">
        <f>AVERAGE(C22:C27)</f>
        <v>1.0016666666666667</v>
      </c>
      <c r="D31" s="351">
        <f>AVERAGE(D21:D26)</f>
        <v>1.0015000000000001</v>
      </c>
      <c r="E31" s="351">
        <f>AVERAGE(E20:E25)</f>
        <v>1.0008333333333332</v>
      </c>
      <c r="F31" s="351">
        <f>AVERAGE(F19:F24)</f>
        <v>1.0003333333333333</v>
      </c>
      <c r="G31" s="351">
        <f>AVERAGE(G18:G23)</f>
        <v>1.0006666666666666</v>
      </c>
      <c r="H31" s="351">
        <f>AVERAGE(H17:H22)</f>
        <v>1.0008333333333332</v>
      </c>
      <c r="I31" s="351">
        <f>AVERAGE(I16:I21)</f>
        <v>1.0004999999999999</v>
      </c>
      <c r="J31" s="351">
        <f>AVERAGE(J15:J20)</f>
        <v>1.0004999999999999</v>
      </c>
      <c r="K31" s="351">
        <f>AVERAGE(K14:K19)</f>
        <v>1.0003333333333333</v>
      </c>
      <c r="L31" s="351">
        <f>AVERAGE(L13:L18)</f>
        <v>1.0004999999999997</v>
      </c>
      <c r="M31" s="351">
        <f>AVERAGE(M12:M17)</f>
        <v>1.0006666666666666</v>
      </c>
      <c r="N31" s="351">
        <f>AVERAGE(N11:N16)</f>
        <v>0.99999999999999989</v>
      </c>
      <c r="O31" s="351">
        <f>AVERAGE(O10:O15)</f>
        <v>1.0003333333333333</v>
      </c>
      <c r="P31" s="351">
        <f>AVERAGE(P9:P14)</f>
        <v>1.0003333333333333</v>
      </c>
      <c r="Q31" s="351">
        <f>AVERAGE(Q8:Q13)</f>
        <v>1.0001666666666666</v>
      </c>
      <c r="R31" s="351">
        <f>AVERAGE(R7:R12)</f>
        <v>1.0001666666666666</v>
      </c>
      <c r="S31" s="351">
        <f>AVERAGE(S6:S11)</f>
        <v>1.0003333333333333</v>
      </c>
      <c r="T31" s="351">
        <f>AVERAGE(T5:T10)</f>
        <v>1.0003333333333333</v>
      </c>
      <c r="U31" s="351">
        <f>AVERAGE(U5:U9)</f>
        <v>1.0003999999999997</v>
      </c>
      <c r="V31" s="351">
        <f>AVERAGE(V5:V8)</f>
        <v>1.0004999999999999</v>
      </c>
      <c r="W31" s="351">
        <f>AVERAGE(W5:W7)</f>
        <v>1</v>
      </c>
    </row>
    <row r="32" spans="1:24">
      <c r="A32" s="181" t="s">
        <v>24</v>
      </c>
      <c r="B32" s="351">
        <f>C32*B31</f>
        <v>1.0138511416531721</v>
      </c>
      <c r="C32" s="351">
        <f t="shared" ref="C32:W32" si="7">D32*C31</f>
        <v>1.0119958159905231</v>
      </c>
      <c r="D32" s="351">
        <f t="shared" si="7"/>
        <v>1.0103119627193242</v>
      </c>
      <c r="E32" s="351">
        <f t="shared" si="7"/>
        <v>1.0087987645724654</v>
      </c>
      <c r="F32" s="351">
        <f t="shared" si="7"/>
        <v>1.00795879890671</v>
      </c>
      <c r="G32" s="351">
        <f t="shared" si="7"/>
        <v>1.0076229245985107</v>
      </c>
      <c r="H32" s="351">
        <f t="shared" si="7"/>
        <v>1.0069516235161666</v>
      </c>
      <c r="I32" s="351">
        <f t="shared" si="7"/>
        <v>1.0061131958529559</v>
      </c>
      <c r="J32" s="351">
        <f t="shared" si="7"/>
        <v>1.005610390657627</v>
      </c>
      <c r="K32" s="351">
        <f t="shared" si="7"/>
        <v>1.0051078367392574</v>
      </c>
      <c r="L32" s="351">
        <f t="shared" si="7"/>
        <v>1.0047729124351124</v>
      </c>
      <c r="M32" s="351">
        <f t="shared" si="7"/>
        <v>1.0042707770465893</v>
      </c>
      <c r="N32" s="351">
        <f t="shared" si="7"/>
        <v>1.003601709240429</v>
      </c>
      <c r="O32" s="351">
        <f t="shared" si="7"/>
        <v>1.0036017092404292</v>
      </c>
      <c r="P32" s="351">
        <f t="shared" si="7"/>
        <v>1.003267286811492</v>
      </c>
      <c r="Q32" s="351">
        <f t="shared" si="7"/>
        <v>1.0029329758195522</v>
      </c>
      <c r="R32" s="351">
        <f t="shared" si="7"/>
        <v>1.0027658481781891</v>
      </c>
      <c r="S32" s="351">
        <f t="shared" si="7"/>
        <v>1.0025987483867913</v>
      </c>
      <c r="T32" s="351">
        <f t="shared" si="7"/>
        <v>1.0022646601667358</v>
      </c>
      <c r="U32" s="351">
        <f t="shared" si="7"/>
        <v>1.0019306832723116</v>
      </c>
      <c r="V32" s="351">
        <f t="shared" si="7"/>
        <v>1.0015300712438144</v>
      </c>
      <c r="W32" s="351">
        <f t="shared" si="7"/>
        <v>1.0010295564655818</v>
      </c>
      <c r="X32" s="350">
        <v>1.0010295564655818</v>
      </c>
    </row>
    <row r="33" spans="1:24">
      <c r="A33" s="283"/>
      <c r="B33" s="183"/>
      <c r="C33" s="183"/>
      <c r="D33" s="183"/>
      <c r="E33" s="183"/>
      <c r="F33" s="183"/>
      <c r="G33" s="183"/>
      <c r="H33" s="183"/>
      <c r="I33" s="183"/>
      <c r="J33" s="183"/>
      <c r="K33" s="183"/>
      <c r="L33" s="183"/>
      <c r="M33" s="183"/>
      <c r="N33" s="183"/>
      <c r="O33" s="183"/>
      <c r="P33" s="183"/>
      <c r="Q33" s="183"/>
      <c r="R33" s="183"/>
      <c r="S33" s="183"/>
      <c r="T33" s="183"/>
      <c r="U33" s="183"/>
      <c r="V33" s="183"/>
      <c r="W33" s="183"/>
    </row>
    <row r="34" spans="1:24" ht="12.75" customHeight="1">
      <c r="A34" s="15" t="s">
        <v>357</v>
      </c>
      <c r="B34" s="432" t="s">
        <v>412</v>
      </c>
      <c r="C34" s="432"/>
      <c r="D34" s="432"/>
      <c r="E34" s="432"/>
      <c r="F34" s="432"/>
      <c r="G34" s="432"/>
      <c r="H34" s="432"/>
      <c r="I34" s="432"/>
      <c r="J34" s="432"/>
      <c r="K34" s="432"/>
      <c r="L34" s="432"/>
      <c r="M34" s="432"/>
      <c r="N34" s="432"/>
      <c r="O34" s="432"/>
      <c r="P34" s="432"/>
      <c r="Q34" s="432"/>
      <c r="R34" s="432"/>
      <c r="S34" s="432"/>
      <c r="T34" s="432"/>
      <c r="U34" s="432"/>
      <c r="V34" s="432"/>
      <c r="W34" s="432"/>
      <c r="X34" s="340"/>
    </row>
    <row r="35" spans="1:24" ht="15" customHeight="1">
      <c r="A35" s="54"/>
      <c r="B35" s="432"/>
      <c r="C35" s="432"/>
      <c r="D35" s="432"/>
      <c r="E35" s="432"/>
      <c r="F35" s="432"/>
      <c r="G35" s="432"/>
      <c r="H35" s="432"/>
      <c r="I35" s="432"/>
      <c r="J35" s="432"/>
      <c r="K35" s="432"/>
      <c r="L35" s="432"/>
      <c r="M35" s="432"/>
      <c r="N35" s="432"/>
      <c r="O35" s="432"/>
      <c r="P35" s="432"/>
      <c r="Q35" s="432"/>
      <c r="R35" s="432"/>
      <c r="S35" s="432"/>
      <c r="T35" s="432"/>
      <c r="U35" s="432"/>
      <c r="V35" s="432"/>
      <c r="W35" s="432"/>
      <c r="X35" s="340"/>
    </row>
  </sheetData>
  <mergeCells count="1">
    <mergeCell ref="B34:W35"/>
  </mergeCells>
  <printOptions horizontalCentered="1"/>
  <pageMargins left="0.7" right="0.7" top="0.75" bottom="0.75" header="0.3" footer="0.3"/>
  <pageSetup scale="61" orientation="landscape" blackAndWhite="1" r:id="rId1"/>
  <headerFooter scaleWithDoc="0"/>
  <ignoredErrors>
    <ignoredError sqref="B31:S31"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9406-FF9D-45A6-ABF0-6A267A1D5509}">
  <sheetPr>
    <pageSetUpPr fitToPage="1"/>
  </sheetPr>
  <dimension ref="A1:T156"/>
  <sheetViews>
    <sheetView zoomScaleNormal="100" zoomScaleSheetLayoutView="100" workbookViewId="0"/>
  </sheetViews>
  <sheetFormatPr defaultColWidth="9.140625" defaultRowHeight="12.75"/>
  <cols>
    <col min="1" max="11" width="9.140625" style="420"/>
    <col min="12" max="12" width="4" style="420" customWidth="1"/>
    <col min="13" max="13" width="30.42578125" style="420" bestFit="1" customWidth="1"/>
    <col min="14" max="14" width="6.85546875" style="424" customWidth="1"/>
    <col min="15" max="15" width="14.85546875" style="424" bestFit="1" customWidth="1"/>
    <col min="16" max="16" width="14.85546875" style="424" customWidth="1"/>
    <col min="17" max="16384" width="9.140625" style="420"/>
  </cols>
  <sheetData>
    <row r="1" spans="1:20">
      <c r="A1" s="419" t="s">
        <v>343</v>
      </c>
      <c r="B1" s="419"/>
      <c r="C1" s="419"/>
      <c r="D1" s="419"/>
      <c r="E1" s="419"/>
      <c r="F1" s="419"/>
      <c r="G1" s="419"/>
      <c r="H1" s="419"/>
      <c r="I1" s="419"/>
      <c r="J1" s="419"/>
      <c r="K1" s="419"/>
      <c r="N1" s="421" t="s">
        <v>233</v>
      </c>
      <c r="O1" s="422" t="s">
        <v>19</v>
      </c>
      <c r="P1" s="422" t="s">
        <v>242</v>
      </c>
      <c r="Q1" s="422" t="s">
        <v>316</v>
      </c>
    </row>
    <row r="2" spans="1:20" ht="15">
      <c r="A2" s="419" t="s">
        <v>492</v>
      </c>
      <c r="B2" s="423"/>
      <c r="C2" s="423"/>
      <c r="D2" s="423"/>
      <c r="E2" s="423"/>
      <c r="F2" s="423"/>
      <c r="G2" s="423"/>
      <c r="H2" s="423"/>
      <c r="I2" s="423"/>
      <c r="J2" s="423"/>
      <c r="K2" s="423"/>
      <c r="N2" s="420">
        <f t="shared" ref="N2:N65" si="0">INT(O2)-O2+1</f>
        <v>1</v>
      </c>
      <c r="O2" s="424">
        <v>1987</v>
      </c>
      <c r="P2" s="247">
        <f>VLOOKUP(INT(O2),'Exhibit 7.1'!$A$1:$I$129,9)*N2+(1-N2)*VLOOKUP(INT(O2)+1,'Exhibit 7.1'!$A$1:$I$129,9)</f>
        <v>0.37571803685785465</v>
      </c>
      <c r="Q2" s="424"/>
    </row>
    <row r="3" spans="1:20">
      <c r="N3" s="420">
        <f t="shared" si="0"/>
        <v>0.75</v>
      </c>
      <c r="O3" s="424">
        <f t="shared" ref="O3:O66" si="1">+O2+0.25</f>
        <v>1987.25</v>
      </c>
      <c r="P3" s="247">
        <f>VLOOKUP(INT(O3),'Exhibit 7.1'!$A$1:$I$129,9)*N3+(1-N3)*VLOOKUP(INT(O3)+1,'Exhibit 7.1'!$A$1:$I$129,9)</f>
        <v>0.38284636741520178</v>
      </c>
      <c r="Q3" s="424"/>
    </row>
    <row r="4" spans="1:20">
      <c r="N4" s="420">
        <f t="shared" si="0"/>
        <v>0.5</v>
      </c>
      <c r="O4" s="424">
        <f t="shared" si="1"/>
        <v>1987.5</v>
      </c>
      <c r="P4" s="247">
        <f>VLOOKUP(INT(O4),'Exhibit 7.1'!$A$1:$I$129,9)*N4+(1-N4)*VLOOKUP(INT(O4)+1,'Exhibit 7.1'!$A$1:$I$129,9)</f>
        <v>0.3899746979725488</v>
      </c>
      <c r="Q4" s="424"/>
    </row>
    <row r="5" spans="1:20">
      <c r="N5" s="420">
        <f t="shared" si="0"/>
        <v>0.25</v>
      </c>
      <c r="O5" s="424">
        <f t="shared" si="1"/>
        <v>1987.75</v>
      </c>
      <c r="P5" s="247">
        <f>VLOOKUP(INT(O5),'Exhibit 7.1'!$A$1:$I$129,9)*N5+(1-N5)*VLOOKUP(INT(O5)+1,'Exhibit 7.1'!$A$1:$I$129,9)</f>
        <v>0.39710302852989587</v>
      </c>
      <c r="Q5" s="424"/>
    </row>
    <row r="6" spans="1:20">
      <c r="N6" s="420">
        <f t="shared" si="0"/>
        <v>1</v>
      </c>
      <c r="O6" s="424">
        <f t="shared" si="1"/>
        <v>1988</v>
      </c>
      <c r="P6" s="247">
        <f>VLOOKUP(INT(O6),'Exhibit 7.1'!$A$1:$I$129,9)*N6+(1-N6)*VLOOKUP(INT(O6)+1,'Exhibit 7.1'!$A$1:$I$129,9)</f>
        <v>0.404231359087243</v>
      </c>
      <c r="Q6" s="424"/>
    </row>
    <row r="7" spans="1:20">
      <c r="N7" s="420">
        <f t="shared" si="0"/>
        <v>0.75</v>
      </c>
      <c r="O7" s="424">
        <f t="shared" si="1"/>
        <v>1988.25</v>
      </c>
      <c r="P7" s="247">
        <f>VLOOKUP(INT(O7),'Exhibit 7.1'!$A$1:$I$129,9)*N7+(1-N7)*VLOOKUP(INT(O7)+1,'Exhibit 7.1'!$A$1:$I$129,9)</f>
        <v>0.41058469268598519</v>
      </c>
      <c r="Q7" s="424"/>
    </row>
    <row r="8" spans="1:20">
      <c r="N8" s="420">
        <f t="shared" si="0"/>
        <v>0.5</v>
      </c>
      <c r="O8" s="424">
        <f t="shared" si="1"/>
        <v>1988.5</v>
      </c>
      <c r="P8" s="247">
        <f>VLOOKUP(INT(O8),'Exhibit 7.1'!$A$1:$I$129,9)*N8+(1-N8)*VLOOKUP(INT(O8)+1,'Exhibit 7.1'!$A$1:$I$129,9)</f>
        <v>0.41693802628472743</v>
      </c>
      <c r="Q8" s="424"/>
      <c r="T8" s="426"/>
    </row>
    <row r="9" spans="1:20">
      <c r="N9" s="420">
        <f t="shared" si="0"/>
        <v>0.25</v>
      </c>
      <c r="O9" s="424">
        <f t="shared" si="1"/>
        <v>1988.75</v>
      </c>
      <c r="P9" s="247">
        <f>VLOOKUP(INT(O9),'Exhibit 7.1'!$A$1:$I$129,9)*N9+(1-N9)*VLOOKUP(INT(O9)+1,'Exhibit 7.1'!$A$1:$I$129,9)</f>
        <v>0.42329135988346966</v>
      </c>
      <c r="Q9" s="424"/>
    </row>
    <row r="10" spans="1:20">
      <c r="N10" s="420">
        <f t="shared" si="0"/>
        <v>1</v>
      </c>
      <c r="O10" s="424">
        <f t="shared" si="1"/>
        <v>1989</v>
      </c>
      <c r="P10" s="247">
        <f>VLOOKUP(INT(O10),'Exhibit 7.1'!$A$1:$I$129,9)*N10+(1-N10)*VLOOKUP(INT(O10)+1,'Exhibit 7.1'!$A$1:$I$129,9)</f>
        <v>0.42964469348221185</v>
      </c>
      <c r="Q10" s="424"/>
    </row>
    <row r="11" spans="1:20">
      <c r="N11" s="420">
        <f t="shared" si="0"/>
        <v>0.75</v>
      </c>
      <c r="O11" s="424">
        <f t="shared" si="1"/>
        <v>1989.25</v>
      </c>
      <c r="P11" s="247">
        <f>VLOOKUP(INT(O11),'Exhibit 7.1'!$A$1:$I$129,9)*N11+(1-N11)*VLOOKUP(INT(O11)+1,'Exhibit 7.1'!$A$1:$I$129,9)</f>
        <v>0.42974480223076972</v>
      </c>
      <c r="Q11" s="424"/>
    </row>
    <row r="12" spans="1:20">
      <c r="N12" s="420">
        <f t="shared" si="0"/>
        <v>0.5</v>
      </c>
      <c r="O12" s="424">
        <f t="shared" si="1"/>
        <v>1989.5</v>
      </c>
      <c r="P12" s="247">
        <f>VLOOKUP(INT(O12),'Exhibit 7.1'!$A$1:$I$129,9)*N12+(1-N12)*VLOOKUP(INT(O12)+1,'Exhibit 7.1'!$A$1:$I$129,9)</f>
        <v>0.42984491097932753</v>
      </c>
      <c r="Q12" s="424"/>
    </row>
    <row r="13" spans="1:20">
      <c r="N13" s="420">
        <f t="shared" si="0"/>
        <v>0.25</v>
      </c>
      <c r="O13" s="424">
        <f t="shared" si="1"/>
        <v>1989.75</v>
      </c>
      <c r="P13" s="247">
        <f>VLOOKUP(INT(O13),'Exhibit 7.1'!$A$1:$I$129,9)*N13+(1-N13)*VLOOKUP(INT(O13)+1,'Exhibit 7.1'!$A$1:$I$129,9)</f>
        <v>0.4299450197278854</v>
      </c>
      <c r="Q13" s="424"/>
    </row>
    <row r="14" spans="1:20">
      <c r="N14" s="420">
        <f t="shared" si="0"/>
        <v>1</v>
      </c>
      <c r="O14" s="424">
        <f t="shared" si="1"/>
        <v>1990</v>
      </c>
      <c r="P14" s="247">
        <f>VLOOKUP(INT(O14),'Exhibit 7.1'!$A$1:$I$129,9)*N14+(1-N14)*VLOOKUP(INT(O14)+1,'Exhibit 7.1'!$A$1:$I$129,9)</f>
        <v>0.43004512847644327</v>
      </c>
      <c r="Q14" s="424"/>
    </row>
    <row r="15" spans="1:20">
      <c r="N15" s="420">
        <f t="shared" si="0"/>
        <v>0.75</v>
      </c>
      <c r="O15" s="424">
        <f t="shared" si="1"/>
        <v>1990.25</v>
      </c>
      <c r="P15" s="247">
        <f>VLOOKUP(INT(O15),'Exhibit 7.1'!$A$1:$I$129,9)*N15+(1-N15)*VLOOKUP(INT(O15)+1,'Exhibit 7.1'!$A$1:$I$129,9)</f>
        <v>0.4269918435571296</v>
      </c>
      <c r="Q15" s="424"/>
    </row>
    <row r="16" spans="1:20">
      <c r="N16" s="420">
        <f t="shared" si="0"/>
        <v>0.5</v>
      </c>
      <c r="O16" s="424">
        <f t="shared" si="1"/>
        <v>1990.5</v>
      </c>
      <c r="P16" s="247">
        <f>VLOOKUP(INT(O16),'Exhibit 7.1'!$A$1:$I$129,9)*N16+(1-N16)*VLOOKUP(INT(O16)+1,'Exhibit 7.1'!$A$1:$I$129,9)</f>
        <v>0.42393855863781593</v>
      </c>
      <c r="Q16" s="424"/>
    </row>
    <row r="17" spans="13:17">
      <c r="N17" s="420">
        <f t="shared" si="0"/>
        <v>0.25</v>
      </c>
      <c r="O17" s="424">
        <f t="shared" si="1"/>
        <v>1990.75</v>
      </c>
      <c r="P17" s="247">
        <f>VLOOKUP(INT(O17),'Exhibit 7.1'!$A$1:$I$129,9)*N17+(1-N17)*VLOOKUP(INT(O17)+1,'Exhibit 7.1'!$A$1:$I$129,9)</f>
        <v>0.42088527371850226</v>
      </c>
      <c r="Q17" s="424"/>
    </row>
    <row r="18" spans="13:17">
      <c r="N18" s="420">
        <f t="shared" si="0"/>
        <v>1</v>
      </c>
      <c r="O18" s="424">
        <f t="shared" si="1"/>
        <v>1991</v>
      </c>
      <c r="P18" s="247">
        <f>VLOOKUP(INT(O18),'Exhibit 7.1'!$A$1:$I$129,9)*N18+(1-N18)*VLOOKUP(INT(O18)+1,'Exhibit 7.1'!$A$1:$I$129,9)</f>
        <v>0.41783198879918859</v>
      </c>
      <c r="Q18" s="424"/>
    </row>
    <row r="19" spans="13:17">
      <c r="N19" s="420">
        <f t="shared" si="0"/>
        <v>0.75</v>
      </c>
      <c r="O19" s="424">
        <f t="shared" si="1"/>
        <v>1991.25</v>
      </c>
      <c r="P19" s="247">
        <f>VLOOKUP(INT(O19),'Exhibit 7.1'!$A$1:$I$129,9)*N19+(1-N19)*VLOOKUP(INT(O19)+1,'Exhibit 7.1'!$A$1:$I$129,9)</f>
        <v>0.41313406010226494</v>
      </c>
      <c r="Q19" s="424"/>
    </row>
    <row r="20" spans="13:17">
      <c r="N20" s="420">
        <f t="shared" si="0"/>
        <v>0.5</v>
      </c>
      <c r="O20" s="424">
        <f t="shared" si="1"/>
        <v>1991.5</v>
      </c>
      <c r="P20" s="247">
        <f>VLOOKUP(INT(O20),'Exhibit 7.1'!$A$1:$I$129,9)*N20+(1-N20)*VLOOKUP(INT(O20)+1,'Exhibit 7.1'!$A$1:$I$129,9)</f>
        <v>0.40843613140534124</v>
      </c>
      <c r="Q20" s="424"/>
    </row>
    <row r="21" spans="13:17">
      <c r="N21" s="420">
        <f t="shared" si="0"/>
        <v>0.25</v>
      </c>
      <c r="O21" s="424">
        <f t="shared" si="1"/>
        <v>1991.75</v>
      </c>
      <c r="P21" s="247">
        <f>VLOOKUP(INT(O21),'Exhibit 7.1'!$A$1:$I$129,9)*N21+(1-N21)*VLOOKUP(INT(O21)+1,'Exhibit 7.1'!$A$1:$I$129,9)</f>
        <v>0.40373820270841759</v>
      </c>
      <c r="Q21" s="424"/>
    </row>
    <row r="22" spans="13:17">
      <c r="N22" s="420">
        <f t="shared" si="0"/>
        <v>1</v>
      </c>
      <c r="O22" s="424">
        <f t="shared" si="1"/>
        <v>1992</v>
      </c>
      <c r="P22" s="247">
        <f>VLOOKUP(INT(O22),'Exhibit 7.1'!$A$1:$I$129,9)*N22+(1-N22)*VLOOKUP(INT(O22)+1,'Exhibit 7.1'!$A$1:$I$129,9)</f>
        <v>0.39904027401149389</v>
      </c>
      <c r="Q22" s="424"/>
    </row>
    <row r="23" spans="13:17">
      <c r="N23" s="420">
        <f t="shared" si="0"/>
        <v>0.75</v>
      </c>
      <c r="O23" s="424">
        <f t="shared" si="1"/>
        <v>1992.25</v>
      </c>
      <c r="P23" s="247">
        <f>VLOOKUP(INT(O23),'Exhibit 7.1'!$A$1:$I$129,9)*N23+(1-N23)*VLOOKUP(INT(O23)+1,'Exhibit 7.1'!$A$1:$I$129,9)</f>
        <v>0.40202271579770393</v>
      </c>
      <c r="Q23" s="424"/>
    </row>
    <row r="24" spans="13:17">
      <c r="N24" s="420">
        <f t="shared" si="0"/>
        <v>0.5</v>
      </c>
      <c r="O24" s="424">
        <f t="shared" si="1"/>
        <v>1992.5</v>
      </c>
      <c r="P24" s="247">
        <f>VLOOKUP(INT(O24),'Exhibit 7.1'!$A$1:$I$129,9)*N24+(1-N24)*VLOOKUP(INT(O24)+1,'Exhibit 7.1'!$A$1:$I$129,9)</f>
        <v>0.40500515758391398</v>
      </c>
      <c r="Q24" s="424"/>
    </row>
    <row r="25" spans="13:17">
      <c r="N25" s="420">
        <f t="shared" si="0"/>
        <v>0.25</v>
      </c>
      <c r="O25" s="424">
        <f t="shared" si="1"/>
        <v>1992.75</v>
      </c>
      <c r="P25" s="247">
        <f>VLOOKUP(INT(O25),'Exhibit 7.1'!$A$1:$I$129,9)*N25+(1-N25)*VLOOKUP(INT(O25)+1,'Exhibit 7.1'!$A$1:$I$129,9)</f>
        <v>0.40798759937012397</v>
      </c>
      <c r="Q25" s="424"/>
    </row>
    <row r="26" spans="13:17">
      <c r="N26" s="420">
        <f t="shared" si="0"/>
        <v>1</v>
      </c>
      <c r="O26" s="424">
        <f t="shared" si="1"/>
        <v>1993</v>
      </c>
      <c r="P26" s="247">
        <f>VLOOKUP(INT(O26),'Exhibit 7.1'!$A$1:$I$129,9)*N26+(1-N26)*VLOOKUP(INT(O26)+1,'Exhibit 7.1'!$A$1:$I$129,9)</f>
        <v>0.41097004115633401</v>
      </c>
      <c r="Q26" s="424"/>
    </row>
    <row r="27" spans="13:17">
      <c r="N27" s="420">
        <f t="shared" si="0"/>
        <v>0.75</v>
      </c>
      <c r="O27" s="424">
        <f t="shared" si="1"/>
        <v>1993.25</v>
      </c>
      <c r="P27" s="247">
        <f>VLOOKUP(INT(O27),'Exhibit 7.1'!$A$1:$I$129,9)*N27+(1-N27)*VLOOKUP(INT(O27)+1,'Exhibit 7.1'!$A$1:$I$129,9)</f>
        <v>0.4163422851793358</v>
      </c>
      <c r="Q27" s="424"/>
    </row>
    <row r="28" spans="13:17">
      <c r="N28" s="420">
        <f t="shared" si="0"/>
        <v>0.5</v>
      </c>
      <c r="O28" s="424">
        <f t="shared" si="1"/>
        <v>1993.5</v>
      </c>
      <c r="P28" s="247">
        <f>VLOOKUP(INT(O28),'Exhibit 7.1'!$A$1:$I$129,9)*N28+(1-N28)*VLOOKUP(INT(O28)+1,'Exhibit 7.1'!$A$1:$I$129,9)</f>
        <v>0.4217145292023376</v>
      </c>
      <c r="Q28" s="424"/>
    </row>
    <row r="29" spans="13:17">
      <c r="N29" s="420">
        <f t="shared" si="0"/>
        <v>0.25</v>
      </c>
      <c r="O29" s="424">
        <f t="shared" si="1"/>
        <v>1993.75</v>
      </c>
      <c r="P29" s="247">
        <f>VLOOKUP(INT(O29),'Exhibit 7.1'!$A$1:$I$129,9)*N29+(1-N29)*VLOOKUP(INT(O29)+1,'Exhibit 7.1'!$A$1:$I$129,9)</f>
        <v>0.42708677322533939</v>
      </c>
      <c r="Q29" s="424"/>
    </row>
    <row r="30" spans="13:17">
      <c r="N30" s="420">
        <f t="shared" si="0"/>
        <v>1</v>
      </c>
      <c r="O30" s="424">
        <f t="shared" si="1"/>
        <v>1994</v>
      </c>
      <c r="P30" s="247">
        <f>VLOOKUP(INT(O30),'Exhibit 7.1'!$A$1:$I$129,9)*N30+(1-N30)*VLOOKUP(INT(O30)+1,'Exhibit 7.1'!$A$1:$I$129,9)</f>
        <v>0.43245901724834118</v>
      </c>
      <c r="Q30" s="424"/>
    </row>
    <row r="31" spans="13:17">
      <c r="M31" s="427"/>
      <c r="N31" s="420">
        <f t="shared" si="0"/>
        <v>0.75</v>
      </c>
      <c r="O31" s="424">
        <f t="shared" si="1"/>
        <v>1994.25</v>
      </c>
      <c r="P31" s="247">
        <f>VLOOKUP(INT(O31),'Exhibit 7.1'!$A$1:$I$129,9)*N31+(1-N31)*VLOOKUP(INT(O31)+1,'Exhibit 7.1'!$A$1:$I$129,9)</f>
        <v>0.43425971615570846</v>
      </c>
      <c r="Q31" s="424"/>
    </row>
    <row r="32" spans="13:17">
      <c r="N32" s="420">
        <f t="shared" si="0"/>
        <v>0.5</v>
      </c>
      <c r="O32" s="424">
        <f t="shared" si="1"/>
        <v>1994.5</v>
      </c>
      <c r="P32" s="247">
        <f>VLOOKUP(INT(O32),'Exhibit 7.1'!$A$1:$I$129,9)*N32+(1-N32)*VLOOKUP(INT(O32)+1,'Exhibit 7.1'!$A$1:$I$129,9)</f>
        <v>0.4360604150630758</v>
      </c>
      <c r="Q32" s="424"/>
    </row>
    <row r="33" spans="1:17">
      <c r="N33" s="420">
        <f t="shared" si="0"/>
        <v>0.25</v>
      </c>
      <c r="O33" s="424">
        <f t="shared" si="1"/>
        <v>1994.75</v>
      </c>
      <c r="P33" s="247">
        <f>VLOOKUP(INT(O33),'Exhibit 7.1'!$A$1:$I$129,9)*N33+(1-N33)*VLOOKUP(INT(O33)+1,'Exhibit 7.1'!$A$1:$I$129,9)</f>
        <v>0.43786111397044303</v>
      </c>
      <c r="Q33" s="424"/>
    </row>
    <row r="34" spans="1:17">
      <c r="N34" s="420">
        <f t="shared" si="0"/>
        <v>1</v>
      </c>
      <c r="O34" s="424">
        <f t="shared" si="1"/>
        <v>1995</v>
      </c>
      <c r="P34" s="247">
        <f>VLOOKUP(INT(O34),'Exhibit 7.1'!$A$1:$I$129,9)*N34+(1-N34)*VLOOKUP(INT(O34)+1,'Exhibit 7.1'!$A$1:$I$129,9)</f>
        <v>0.43966181287781037</v>
      </c>
      <c r="Q34" s="424"/>
    </row>
    <row r="35" spans="1:17">
      <c r="N35" s="420">
        <f t="shared" si="0"/>
        <v>0.75</v>
      </c>
      <c r="O35" s="424">
        <f t="shared" si="1"/>
        <v>1995.25</v>
      </c>
      <c r="P35" s="247">
        <f>VLOOKUP(INT(O35),'Exhibit 7.1'!$A$1:$I$129,9)*N35+(1-N35)*VLOOKUP(INT(O35)+1,'Exhibit 7.1'!$A$1:$I$129,9)</f>
        <v>0.44215484288571882</v>
      </c>
      <c r="Q35" s="424"/>
    </row>
    <row r="36" spans="1:17">
      <c r="A36" s="420" t="s">
        <v>348</v>
      </c>
      <c r="N36" s="420">
        <f t="shared" si="0"/>
        <v>0.5</v>
      </c>
      <c r="O36" s="424">
        <f t="shared" si="1"/>
        <v>1995.5</v>
      </c>
      <c r="P36" s="247">
        <f>VLOOKUP(INT(O36),'Exhibit 7.1'!$A$1:$I$129,9)*N36+(1-N36)*VLOOKUP(INT(O36)+1,'Exhibit 7.1'!$A$1:$I$129,9)</f>
        <v>0.44464787289362734</v>
      </c>
      <c r="Q36" s="424"/>
    </row>
    <row r="37" spans="1:17">
      <c r="A37" s="454" t="s">
        <v>487</v>
      </c>
      <c r="B37" s="455"/>
      <c r="C37" s="455"/>
      <c r="D37" s="455"/>
      <c r="E37" s="455"/>
      <c r="F37" s="455"/>
      <c r="G37" s="455"/>
      <c r="H37" s="455"/>
      <c r="I37" s="455"/>
      <c r="J37" s="455"/>
      <c r="K37" s="455"/>
      <c r="N37" s="420">
        <f t="shared" si="0"/>
        <v>0.25</v>
      </c>
      <c r="O37" s="424">
        <f t="shared" si="1"/>
        <v>1995.75</v>
      </c>
      <c r="P37" s="247">
        <f>VLOOKUP(INT(O37),'Exhibit 7.1'!$A$1:$I$129,9)*N37+(1-N37)*VLOOKUP(INT(O37)+1,'Exhibit 7.1'!$A$1:$I$129,9)</f>
        <v>0.44714090290153585</v>
      </c>
      <c r="Q37" s="424"/>
    </row>
    <row r="38" spans="1:17">
      <c r="A38" s="455"/>
      <c r="B38" s="455"/>
      <c r="C38" s="455"/>
      <c r="D38" s="455"/>
      <c r="E38" s="455"/>
      <c r="F38" s="455"/>
      <c r="G38" s="455"/>
      <c r="H38" s="455"/>
      <c r="I38" s="455"/>
      <c r="J38" s="455"/>
      <c r="K38" s="455"/>
      <c r="N38" s="420">
        <f t="shared" si="0"/>
        <v>1</v>
      </c>
      <c r="O38" s="424">
        <f t="shared" si="1"/>
        <v>1996</v>
      </c>
      <c r="P38" s="247">
        <f>VLOOKUP(INT(O38),'Exhibit 7.1'!$A$1:$I$129,9)*N38+(1-N38)*VLOOKUP(INT(O38)+1,'Exhibit 7.1'!$A$1:$I$129,9)</f>
        <v>0.44963393290944431</v>
      </c>
      <c r="Q38" s="424"/>
    </row>
    <row r="39" spans="1:17">
      <c r="N39" s="420">
        <f t="shared" si="0"/>
        <v>0.75</v>
      </c>
      <c r="O39" s="424">
        <f t="shared" si="1"/>
        <v>1996.25</v>
      </c>
      <c r="P39" s="247">
        <f>VLOOKUP(INT(O39),'Exhibit 7.1'!$A$1:$I$129,9)*N39+(1-N39)*VLOOKUP(INT(O39)+1,'Exhibit 7.1'!$A$1:$I$129,9)</f>
        <v>0.45488962717801235</v>
      </c>
      <c r="Q39" s="424"/>
    </row>
    <row r="40" spans="1:17">
      <c r="N40" s="420">
        <f t="shared" si="0"/>
        <v>0.5</v>
      </c>
      <c r="O40" s="424">
        <f t="shared" si="1"/>
        <v>1996.5</v>
      </c>
      <c r="P40" s="247">
        <f>VLOOKUP(INT(O40),'Exhibit 7.1'!$A$1:$I$129,9)*N40+(1-N40)*VLOOKUP(INT(O40)+1,'Exhibit 7.1'!$A$1:$I$129,9)</f>
        <v>0.46014532144658038</v>
      </c>
      <c r="Q40" s="424"/>
    </row>
    <row r="41" spans="1:17">
      <c r="N41" s="420">
        <f t="shared" si="0"/>
        <v>0.25</v>
      </c>
      <c r="O41" s="424">
        <f t="shared" si="1"/>
        <v>1996.75</v>
      </c>
      <c r="P41" s="247">
        <f>VLOOKUP(INT(O41),'Exhibit 7.1'!$A$1:$I$129,9)*N41+(1-N41)*VLOOKUP(INT(O41)+1,'Exhibit 7.1'!$A$1:$I$129,9)</f>
        <v>0.46540101571514836</v>
      </c>
      <c r="Q41" s="424"/>
    </row>
    <row r="42" spans="1:17">
      <c r="N42" s="420">
        <f t="shared" si="0"/>
        <v>1</v>
      </c>
      <c r="O42" s="424">
        <f t="shared" si="1"/>
        <v>1997</v>
      </c>
      <c r="P42" s="247">
        <f>VLOOKUP(INT(O42),'Exhibit 7.1'!$A$1:$I$129,9)*N42+(1-N42)*VLOOKUP(INT(O42)+1,'Exhibit 7.1'!$A$1:$I$129,9)</f>
        <v>0.47065670998371639</v>
      </c>
      <c r="Q42" s="424"/>
    </row>
    <row r="43" spans="1:17">
      <c r="N43" s="420">
        <f t="shared" si="0"/>
        <v>0.75</v>
      </c>
      <c r="O43" s="424">
        <f t="shared" si="1"/>
        <v>1997.25</v>
      </c>
      <c r="P43" s="247">
        <f>VLOOKUP(INT(O43),'Exhibit 7.1'!$A$1:$I$129,9)*N43+(1-N43)*VLOOKUP(INT(O43)+1,'Exhibit 7.1'!$A$1:$I$129,9)</f>
        <v>0.46923293394554083</v>
      </c>
      <c r="Q43" s="424"/>
    </row>
    <row r="44" spans="1:17">
      <c r="N44" s="420">
        <f t="shared" si="0"/>
        <v>0.5</v>
      </c>
      <c r="O44" s="424">
        <f t="shared" si="1"/>
        <v>1997.5</v>
      </c>
      <c r="P44" s="247">
        <f>VLOOKUP(INT(O44),'Exhibit 7.1'!$A$1:$I$129,9)*N44+(1-N44)*VLOOKUP(INT(O44)+1,'Exhibit 7.1'!$A$1:$I$129,9)</f>
        <v>0.46780915790736533</v>
      </c>
      <c r="Q44" s="424"/>
    </row>
    <row r="45" spans="1:17">
      <c r="N45" s="420">
        <f t="shared" si="0"/>
        <v>0.25</v>
      </c>
      <c r="O45" s="424">
        <f t="shared" si="1"/>
        <v>1997.75</v>
      </c>
      <c r="P45" s="247">
        <f>VLOOKUP(INT(O45),'Exhibit 7.1'!$A$1:$I$129,9)*N45+(1-N45)*VLOOKUP(INT(O45)+1,'Exhibit 7.1'!$A$1:$I$129,9)</f>
        <v>0.46638538186918982</v>
      </c>
      <c r="Q45" s="424"/>
    </row>
    <row r="46" spans="1:17">
      <c r="N46" s="420">
        <f t="shared" si="0"/>
        <v>1</v>
      </c>
      <c r="O46" s="424">
        <f t="shared" si="1"/>
        <v>1998</v>
      </c>
      <c r="P46" s="247">
        <f>VLOOKUP(INT(O46),'Exhibit 7.1'!$A$1:$I$129,9)*N46+(1-N46)*VLOOKUP(INT(O46)+1,'Exhibit 7.1'!$A$1:$I$129,9)</f>
        <v>0.46496160583101426</v>
      </c>
      <c r="Q46" s="424"/>
    </row>
    <row r="47" spans="1:17">
      <c r="N47" s="420">
        <f t="shared" si="0"/>
        <v>0.75</v>
      </c>
      <c r="O47" s="424">
        <f t="shared" si="1"/>
        <v>1998.25</v>
      </c>
      <c r="P47" s="247">
        <f>VLOOKUP(INT(O47),'Exhibit 7.1'!$A$1:$I$129,9)*N47+(1-N47)*VLOOKUP(INT(O47)+1,'Exhibit 7.1'!$A$1:$I$129,9)</f>
        <v>0.46753017576464501</v>
      </c>
      <c r="Q47" s="424"/>
    </row>
    <row r="48" spans="1:17">
      <c r="N48" s="420">
        <f t="shared" si="0"/>
        <v>0.5</v>
      </c>
      <c r="O48" s="424">
        <f t="shared" si="1"/>
        <v>1998.5</v>
      </c>
      <c r="P48" s="247">
        <f>VLOOKUP(INT(O48),'Exhibit 7.1'!$A$1:$I$129,9)*N48+(1-N48)*VLOOKUP(INT(O48)+1,'Exhibit 7.1'!$A$1:$I$129,9)</f>
        <v>0.4700987456982757</v>
      </c>
      <c r="Q48" s="424"/>
    </row>
    <row r="49" spans="14:17">
      <c r="N49" s="420">
        <f t="shared" si="0"/>
        <v>0.25</v>
      </c>
      <c r="O49" s="424">
        <f t="shared" si="1"/>
        <v>1998.75</v>
      </c>
      <c r="P49" s="247">
        <f>VLOOKUP(INT(O49),'Exhibit 7.1'!$A$1:$I$129,9)*N49+(1-N49)*VLOOKUP(INT(O49)+1,'Exhibit 7.1'!$A$1:$I$129,9)</f>
        <v>0.47266731563190639</v>
      </c>
      <c r="Q49" s="424"/>
    </row>
    <row r="50" spans="14:17">
      <c r="N50" s="420">
        <f t="shared" si="0"/>
        <v>1</v>
      </c>
      <c r="O50" s="424">
        <f t="shared" si="1"/>
        <v>1999</v>
      </c>
      <c r="P50" s="247">
        <f>VLOOKUP(INT(O50),'Exhibit 7.1'!$A$1:$I$129,9)*N50+(1-N50)*VLOOKUP(INT(O50)+1,'Exhibit 7.1'!$A$1:$I$129,9)</f>
        <v>0.47523588556553714</v>
      </c>
      <c r="Q50" s="424"/>
    </row>
    <row r="51" spans="14:17">
      <c r="N51" s="420">
        <f t="shared" si="0"/>
        <v>0.75</v>
      </c>
      <c r="O51" s="424">
        <f t="shared" si="1"/>
        <v>1999.25</v>
      </c>
      <c r="P51" s="247">
        <f>VLOOKUP(INT(O51),'Exhibit 7.1'!$A$1:$I$129,9)*N51+(1-N51)*VLOOKUP(INT(O51)+1,'Exhibit 7.1'!$A$1:$I$129,9)</f>
        <v>0.47788302130577509</v>
      </c>
      <c r="Q51" s="424"/>
    </row>
    <row r="52" spans="14:17">
      <c r="N52" s="420">
        <f t="shared" si="0"/>
        <v>0.5</v>
      </c>
      <c r="O52" s="424">
        <f t="shared" si="1"/>
        <v>1999.5</v>
      </c>
      <c r="P52" s="247">
        <f>VLOOKUP(INT(O52),'Exhibit 7.1'!$A$1:$I$129,9)*N52+(1-N52)*VLOOKUP(INT(O52)+1,'Exhibit 7.1'!$A$1:$I$129,9)</f>
        <v>0.48053015704601298</v>
      </c>
      <c r="Q52" s="424"/>
    </row>
    <row r="53" spans="14:17">
      <c r="N53" s="420">
        <f t="shared" si="0"/>
        <v>0.25</v>
      </c>
      <c r="O53" s="424">
        <f t="shared" si="1"/>
        <v>1999.75</v>
      </c>
      <c r="P53" s="247">
        <f>VLOOKUP(INT(O53),'Exhibit 7.1'!$A$1:$I$129,9)*N53+(1-N53)*VLOOKUP(INT(O53)+1,'Exhibit 7.1'!$A$1:$I$129,9)</f>
        <v>0.48317729278625093</v>
      </c>
      <c r="Q53" s="424"/>
    </row>
    <row r="54" spans="14:17">
      <c r="N54" s="420">
        <f t="shared" si="0"/>
        <v>1</v>
      </c>
      <c r="O54" s="424">
        <f t="shared" si="1"/>
        <v>2000</v>
      </c>
      <c r="P54" s="247">
        <f>VLOOKUP(INT(O54),'Exhibit 7.1'!$A$1:$I$129,9)*N54+(1-N54)*VLOOKUP(INT(O54)+1,'Exhibit 7.1'!$A$1:$I$129,9)</f>
        <v>0.48582442852648888</v>
      </c>
      <c r="Q54" s="424"/>
    </row>
    <row r="55" spans="14:17">
      <c r="N55" s="420">
        <f t="shared" si="0"/>
        <v>0.75</v>
      </c>
      <c r="O55" s="424">
        <f t="shared" si="1"/>
        <v>2000.25</v>
      </c>
      <c r="P55" s="247">
        <f>VLOOKUP(INT(O55),'Exhibit 7.1'!$A$1:$I$129,9)*N55+(1-N55)*VLOOKUP(INT(O55)+1,'Exhibit 7.1'!$A$1:$I$129,9)</f>
        <v>0.48257258875260811</v>
      </c>
      <c r="Q55" s="424"/>
    </row>
    <row r="56" spans="14:17">
      <c r="N56" s="420">
        <f t="shared" si="0"/>
        <v>0.5</v>
      </c>
      <c r="O56" s="424">
        <f t="shared" si="1"/>
        <v>2000.5</v>
      </c>
      <c r="P56" s="247">
        <f>VLOOKUP(INT(O56),'Exhibit 7.1'!$A$1:$I$129,9)*N56+(1-N56)*VLOOKUP(INT(O56)+1,'Exhibit 7.1'!$A$1:$I$129,9)</f>
        <v>0.47932074897872745</v>
      </c>
      <c r="Q56" s="424"/>
    </row>
    <row r="57" spans="14:17">
      <c r="N57" s="420">
        <f t="shared" si="0"/>
        <v>0.25</v>
      </c>
      <c r="O57" s="424">
        <f t="shared" si="1"/>
        <v>2000.75</v>
      </c>
      <c r="P57" s="247">
        <f>VLOOKUP(INT(O57),'Exhibit 7.1'!$A$1:$I$129,9)*N57+(1-N57)*VLOOKUP(INT(O57)+1,'Exhibit 7.1'!$A$1:$I$129,9)</f>
        <v>0.47606890920484668</v>
      </c>
      <c r="Q57" s="424"/>
    </row>
    <row r="58" spans="14:17">
      <c r="N58" s="420">
        <f t="shared" si="0"/>
        <v>1</v>
      </c>
      <c r="O58" s="424">
        <f t="shared" si="1"/>
        <v>2001</v>
      </c>
      <c r="P58" s="247">
        <f>VLOOKUP(INT(O58),'Exhibit 7.1'!$A$1:$I$129,9)*N58+(1-N58)*VLOOKUP(INT(O58)+1,'Exhibit 7.1'!$A$1:$I$129,9)</f>
        <v>0.47281706943096596</v>
      </c>
      <c r="Q58" s="424"/>
    </row>
    <row r="59" spans="14:17">
      <c r="N59" s="420">
        <f t="shared" si="0"/>
        <v>0.75</v>
      </c>
      <c r="O59" s="424">
        <f t="shared" si="1"/>
        <v>2001.25</v>
      </c>
      <c r="P59" s="247">
        <f>VLOOKUP(INT(O59),'Exhibit 7.1'!$A$1:$I$129,9)*N59+(1-N59)*VLOOKUP(INT(O59)+1,'Exhibit 7.1'!$A$1:$I$129,9)</f>
        <v>0.47200000925964575</v>
      </c>
      <c r="Q59" s="424"/>
    </row>
    <row r="60" spans="14:17">
      <c r="N60" s="420">
        <f t="shared" si="0"/>
        <v>0.5</v>
      </c>
      <c r="O60" s="424">
        <f t="shared" si="1"/>
        <v>2001.5</v>
      </c>
      <c r="P60" s="247">
        <f>VLOOKUP(INT(O60),'Exhibit 7.1'!$A$1:$I$129,9)*N60+(1-N60)*VLOOKUP(INT(O60)+1,'Exhibit 7.1'!$A$1:$I$129,9)</f>
        <v>0.47118294908832548</v>
      </c>
      <c r="Q60" s="424"/>
    </row>
    <row r="61" spans="14:17">
      <c r="N61" s="420">
        <f t="shared" si="0"/>
        <v>0.25</v>
      </c>
      <c r="O61" s="424">
        <f t="shared" si="1"/>
        <v>2001.75</v>
      </c>
      <c r="P61" s="247">
        <f>VLOOKUP(INT(O61),'Exhibit 7.1'!$A$1:$I$129,9)*N61+(1-N61)*VLOOKUP(INT(O61)+1,'Exhibit 7.1'!$A$1:$I$129,9)</f>
        <v>0.4703658889170052</v>
      </c>
      <c r="Q61" s="424"/>
    </row>
    <row r="62" spans="14:17">
      <c r="N62" s="420">
        <f t="shared" si="0"/>
        <v>1</v>
      </c>
      <c r="O62" s="424">
        <f t="shared" si="1"/>
        <v>2002</v>
      </c>
      <c r="P62" s="247">
        <f>VLOOKUP(INT(O62),'Exhibit 7.1'!$A$1:$I$129,9)*N62+(1-N62)*VLOOKUP(INT(O62)+1,'Exhibit 7.1'!$A$1:$I$129,9)</f>
        <v>0.46954882874568499</v>
      </c>
      <c r="Q62" s="424"/>
    </row>
    <row r="63" spans="14:17">
      <c r="N63" s="420">
        <f t="shared" si="0"/>
        <v>0.75</v>
      </c>
      <c r="O63" s="424">
        <f t="shared" si="1"/>
        <v>2002.25</v>
      </c>
      <c r="P63" s="247">
        <f>VLOOKUP(INT(O63),'Exhibit 7.1'!$A$1:$I$129,9)*N63+(1-N63)*VLOOKUP(INT(O63)+1,'Exhibit 7.1'!$A$1:$I$129,9)</f>
        <v>0.46116715742191333</v>
      </c>
      <c r="Q63" s="424"/>
    </row>
    <row r="64" spans="14:17">
      <c r="N64" s="420">
        <f t="shared" si="0"/>
        <v>0.5</v>
      </c>
      <c r="O64" s="424">
        <f t="shared" si="1"/>
        <v>2002.5</v>
      </c>
      <c r="P64" s="247">
        <f>VLOOKUP(INT(O64),'Exhibit 7.1'!$A$1:$I$129,9)*N64+(1-N64)*VLOOKUP(INT(O64)+1,'Exhibit 7.1'!$A$1:$I$129,9)</f>
        <v>0.45278548609814173</v>
      </c>
      <c r="Q64" s="424"/>
    </row>
    <row r="65" spans="14:17">
      <c r="N65" s="420">
        <f t="shared" si="0"/>
        <v>0.25</v>
      </c>
      <c r="O65" s="424">
        <f t="shared" si="1"/>
        <v>2002.75</v>
      </c>
      <c r="P65" s="247">
        <f>VLOOKUP(INT(O65),'Exhibit 7.1'!$A$1:$I$129,9)*N65+(1-N65)*VLOOKUP(INT(O65)+1,'Exhibit 7.1'!$A$1:$I$129,9)</f>
        <v>0.44440381477437008</v>
      </c>
      <c r="Q65" s="424"/>
    </row>
    <row r="66" spans="14:17">
      <c r="N66" s="420">
        <f t="shared" ref="N66:N128" si="2">INT(O66)-O66+1</f>
        <v>1</v>
      </c>
      <c r="O66" s="424">
        <f t="shared" si="1"/>
        <v>2003</v>
      </c>
      <c r="P66" s="247">
        <f>VLOOKUP(INT(O66),'Exhibit 7.1'!$A$1:$I$129,9)*N66+(1-N66)*VLOOKUP(INT(O66)+1,'Exhibit 7.1'!$A$1:$I$129,9)</f>
        <v>0.43602214345059842</v>
      </c>
      <c r="Q66" s="424"/>
    </row>
    <row r="67" spans="14:17">
      <c r="N67" s="420">
        <f t="shared" si="2"/>
        <v>0.75</v>
      </c>
      <c r="O67" s="424">
        <f t="shared" ref="O67:O97" si="3">+O66+0.25</f>
        <v>2003.25</v>
      </c>
      <c r="P67" s="247">
        <f>VLOOKUP(INT(O67),'Exhibit 7.1'!$A$1:$I$129,9)*N67+(1-N67)*VLOOKUP(INT(O67)+1,'Exhibit 7.1'!$A$1:$I$129,9)</f>
        <v>0.42441519816655132</v>
      </c>
      <c r="Q67" s="424"/>
    </row>
    <row r="68" spans="14:17">
      <c r="N68" s="420">
        <f t="shared" si="2"/>
        <v>0.5</v>
      </c>
      <c r="O68" s="424">
        <f t="shared" si="3"/>
        <v>2003.5</v>
      </c>
      <c r="P68" s="247">
        <f>VLOOKUP(INT(O68),'Exhibit 7.1'!$A$1:$I$129,9)*N68+(1-N68)*VLOOKUP(INT(O68)+1,'Exhibit 7.1'!$A$1:$I$129,9)</f>
        <v>0.41280825288250422</v>
      </c>
      <c r="Q68" s="424"/>
    </row>
    <row r="69" spans="14:17">
      <c r="N69" s="420">
        <f t="shared" si="2"/>
        <v>0.25</v>
      </c>
      <c r="O69" s="424">
        <f t="shared" si="3"/>
        <v>2003.75</v>
      </c>
      <c r="P69" s="247">
        <f>VLOOKUP(INT(O69),'Exhibit 7.1'!$A$1:$I$129,9)*N69+(1-N69)*VLOOKUP(INT(O69)+1,'Exhibit 7.1'!$A$1:$I$129,9)</f>
        <v>0.40120130759845707</v>
      </c>
      <c r="Q69" s="424"/>
    </row>
    <row r="70" spans="14:17">
      <c r="N70" s="420">
        <f t="shared" si="2"/>
        <v>1</v>
      </c>
      <c r="O70" s="424">
        <f t="shared" si="3"/>
        <v>2004</v>
      </c>
      <c r="P70" s="247">
        <f>VLOOKUP(INT(O70),'Exhibit 7.1'!$A$1:$I$129,9)*N70+(1-N70)*VLOOKUP(INT(O70)+1,'Exhibit 7.1'!$A$1:$I$129,9)</f>
        <v>0.38959436231440997</v>
      </c>
      <c r="Q70" s="424"/>
    </row>
    <row r="71" spans="14:17">
      <c r="N71" s="420">
        <f t="shared" si="2"/>
        <v>0.75</v>
      </c>
      <c r="O71" s="424">
        <f t="shared" si="3"/>
        <v>2004.25</v>
      </c>
      <c r="P71" s="247">
        <f>VLOOKUP(INT(O71),'Exhibit 7.1'!$A$1:$I$129,9)*N71+(1-N71)*VLOOKUP(INT(O71)+1,'Exhibit 7.1'!$A$1:$I$129,9)</f>
        <v>0.3942836436210202</v>
      </c>
      <c r="Q71" s="424"/>
    </row>
    <row r="72" spans="14:17">
      <c r="N72" s="420">
        <f t="shared" si="2"/>
        <v>0.5</v>
      </c>
      <c r="O72" s="424">
        <f t="shared" si="3"/>
        <v>2004.5</v>
      </c>
      <c r="P72" s="247">
        <f>VLOOKUP(INT(O72),'Exhibit 7.1'!$A$1:$I$129,9)*N72+(1-N72)*VLOOKUP(INT(O72)+1,'Exhibit 7.1'!$A$1:$I$129,9)</f>
        <v>0.39897292492763048</v>
      </c>
      <c r="Q72" s="424"/>
    </row>
    <row r="73" spans="14:17">
      <c r="N73" s="420">
        <f t="shared" si="2"/>
        <v>0.25</v>
      </c>
      <c r="O73" s="424">
        <f t="shared" si="3"/>
        <v>2004.75</v>
      </c>
      <c r="P73" s="247">
        <f>VLOOKUP(INT(O73),'Exhibit 7.1'!$A$1:$I$129,9)*N73+(1-N73)*VLOOKUP(INT(O73)+1,'Exhibit 7.1'!$A$1:$I$129,9)</f>
        <v>0.40366220623424082</v>
      </c>
      <c r="Q73" s="424"/>
    </row>
    <row r="74" spans="14:17">
      <c r="N74" s="420">
        <f t="shared" si="2"/>
        <v>1</v>
      </c>
      <c r="O74" s="424">
        <f t="shared" si="3"/>
        <v>2005</v>
      </c>
      <c r="P74" s="247">
        <f>VLOOKUP(INT(O74),'Exhibit 7.1'!$A$1:$I$129,9)*N74+(1-N74)*VLOOKUP(INT(O74)+1,'Exhibit 7.1'!$A$1:$I$129,9)</f>
        <v>0.40835148754085104</v>
      </c>
      <c r="Q74" s="424"/>
    </row>
    <row r="75" spans="14:17">
      <c r="N75" s="420">
        <f t="shared" si="2"/>
        <v>0.75</v>
      </c>
      <c r="O75" s="424">
        <f t="shared" si="3"/>
        <v>2005.25</v>
      </c>
      <c r="P75" s="247">
        <f>VLOOKUP(INT(O75),'Exhibit 7.1'!$A$1:$I$129,9)*N75+(1-N75)*VLOOKUP(INT(O75)+1,'Exhibit 7.1'!$A$1:$I$129,9)</f>
        <v>0.40715640454423907</v>
      </c>
      <c r="Q75" s="424"/>
    </row>
    <row r="76" spans="14:17">
      <c r="N76" s="420">
        <f t="shared" si="2"/>
        <v>0.5</v>
      </c>
      <c r="O76" s="424">
        <f t="shared" si="3"/>
        <v>2005.5</v>
      </c>
      <c r="P76" s="247">
        <f>VLOOKUP(INT(O76),'Exhibit 7.1'!$A$1:$I$129,9)*N76+(1-N76)*VLOOKUP(INT(O76)+1,'Exhibit 7.1'!$A$1:$I$129,9)</f>
        <v>0.4059613215476271</v>
      </c>
      <c r="Q76" s="424"/>
    </row>
    <row r="77" spans="14:17">
      <c r="N77" s="420">
        <f t="shared" si="2"/>
        <v>0.25</v>
      </c>
      <c r="O77" s="424">
        <f t="shared" si="3"/>
        <v>2005.75</v>
      </c>
      <c r="P77" s="247">
        <f>VLOOKUP(INT(O77),'Exhibit 7.1'!$A$1:$I$129,9)*N77+(1-N77)*VLOOKUP(INT(O77)+1,'Exhibit 7.1'!$A$1:$I$129,9)</f>
        <v>0.40476623855101512</v>
      </c>
      <c r="Q77" s="424"/>
    </row>
    <row r="78" spans="14:17">
      <c r="N78" s="420">
        <f t="shared" si="2"/>
        <v>1</v>
      </c>
      <c r="O78" s="424">
        <f t="shared" si="3"/>
        <v>2006</v>
      </c>
      <c r="P78" s="247">
        <f>VLOOKUP(INT(O78),'Exhibit 7.1'!$A$1:$I$129,9)*N78+(1-N78)*VLOOKUP(INT(O78)+1,'Exhibit 7.1'!$A$1:$I$129,9)</f>
        <v>0.40357115555440315</v>
      </c>
      <c r="Q78" s="424"/>
    </row>
    <row r="79" spans="14:17">
      <c r="N79" s="420">
        <f t="shared" si="2"/>
        <v>0.75</v>
      </c>
      <c r="O79" s="424">
        <f t="shared" si="3"/>
        <v>2006.25</v>
      </c>
      <c r="P79" s="247">
        <f>VLOOKUP(INT(O79),'Exhibit 7.1'!$A$1:$I$129,9)*N79+(1-N79)*VLOOKUP(INT(O79)+1,'Exhibit 7.1'!$A$1:$I$129,9)</f>
        <v>0.40749640447102337</v>
      </c>
      <c r="Q79" s="424"/>
    </row>
    <row r="80" spans="14:17">
      <c r="N80" s="420">
        <f t="shared" si="2"/>
        <v>0.5</v>
      </c>
      <c r="O80" s="424">
        <f t="shared" si="3"/>
        <v>2006.5</v>
      </c>
      <c r="P80" s="247">
        <f>VLOOKUP(INT(O80),'Exhibit 7.1'!$A$1:$I$129,9)*N80+(1-N80)*VLOOKUP(INT(O80)+1,'Exhibit 7.1'!$A$1:$I$129,9)</f>
        <v>0.41142165338764347</v>
      </c>
      <c r="Q80" s="424"/>
    </row>
    <row r="81" spans="14:17">
      <c r="N81" s="420">
        <f t="shared" si="2"/>
        <v>0.25</v>
      </c>
      <c r="O81" s="424">
        <f t="shared" si="3"/>
        <v>2006.75</v>
      </c>
      <c r="P81" s="247">
        <f>VLOOKUP(INT(O81),'Exhibit 7.1'!$A$1:$I$129,9)*N81+(1-N81)*VLOOKUP(INT(O81)+1,'Exhibit 7.1'!$A$1:$I$129,9)</f>
        <v>0.41534690230426363</v>
      </c>
      <c r="Q81" s="424"/>
    </row>
    <row r="82" spans="14:17">
      <c r="N82" s="420">
        <f t="shared" si="2"/>
        <v>1</v>
      </c>
      <c r="O82" s="424">
        <f t="shared" si="3"/>
        <v>2007</v>
      </c>
      <c r="P82" s="247">
        <f>VLOOKUP(INT(O82),'Exhibit 7.1'!$A$1:$I$129,9)*N82+(1-N82)*VLOOKUP(INT(O82)+1,'Exhibit 7.1'!$A$1:$I$129,9)</f>
        <v>0.41927215122088385</v>
      </c>
      <c r="Q82" s="424"/>
    </row>
    <row r="83" spans="14:17">
      <c r="N83" s="420">
        <f t="shared" si="2"/>
        <v>0.75</v>
      </c>
      <c r="O83" s="424">
        <f t="shared" si="3"/>
        <v>2007.25</v>
      </c>
      <c r="P83" s="247">
        <f>VLOOKUP(INT(O83),'Exhibit 7.1'!$A$1:$I$129,9)*N83+(1-N83)*VLOOKUP(INT(O83)+1,'Exhibit 7.1'!$A$1:$I$129,9)</f>
        <v>0.41756965683832686</v>
      </c>
      <c r="Q83" s="424"/>
    </row>
    <row r="84" spans="14:17">
      <c r="N84" s="420">
        <f t="shared" si="2"/>
        <v>0.5</v>
      </c>
      <c r="O84" s="424">
        <f t="shared" si="3"/>
        <v>2007.5</v>
      </c>
      <c r="P84" s="247">
        <f>VLOOKUP(INT(O84),'Exhibit 7.1'!$A$1:$I$129,9)*N84+(1-N84)*VLOOKUP(INT(O84)+1,'Exhibit 7.1'!$A$1:$I$129,9)</f>
        <v>0.41586716245576993</v>
      </c>
      <c r="Q84" s="424"/>
    </row>
    <row r="85" spans="14:17">
      <c r="N85" s="420">
        <f t="shared" si="2"/>
        <v>0.25</v>
      </c>
      <c r="O85" s="424">
        <f t="shared" si="3"/>
        <v>2007.75</v>
      </c>
      <c r="P85" s="247">
        <f>VLOOKUP(INT(O85),'Exhibit 7.1'!$A$1:$I$129,9)*N85+(1-N85)*VLOOKUP(INT(O85)+1,'Exhibit 7.1'!$A$1:$I$129,9)</f>
        <v>0.414164668073213</v>
      </c>
      <c r="Q85" s="424"/>
    </row>
    <row r="86" spans="14:17">
      <c r="N86" s="420">
        <f t="shared" si="2"/>
        <v>1</v>
      </c>
      <c r="O86" s="424">
        <f t="shared" si="3"/>
        <v>2008</v>
      </c>
      <c r="P86" s="247">
        <f>VLOOKUP(INT(O86),'Exhibit 7.1'!$A$1:$I$129,9)*N86+(1-N86)*VLOOKUP(INT(O86)+1,'Exhibit 7.1'!$A$1:$I$129,9)</f>
        <v>0.41246217369065602</v>
      </c>
      <c r="Q86" s="424"/>
    </row>
    <row r="87" spans="14:17">
      <c r="N87" s="420">
        <f t="shared" si="2"/>
        <v>0.75</v>
      </c>
      <c r="O87" s="424">
        <f t="shared" si="3"/>
        <v>2008.25</v>
      </c>
      <c r="P87" s="247">
        <f>VLOOKUP(INT(O87),'Exhibit 7.1'!$A$1:$I$129,9)*N87+(1-N87)*VLOOKUP(INT(O87)+1,'Exhibit 7.1'!$A$1:$I$129,9)</f>
        <v>0.41908881068399362</v>
      </c>
      <c r="Q87" s="424"/>
    </row>
    <row r="88" spans="14:17">
      <c r="N88" s="420">
        <f t="shared" si="2"/>
        <v>0.5</v>
      </c>
      <c r="O88" s="424">
        <f t="shared" si="3"/>
        <v>2008.5</v>
      </c>
      <c r="P88" s="247">
        <f>VLOOKUP(INT(O88),'Exhibit 7.1'!$A$1:$I$129,9)*N88+(1-N88)*VLOOKUP(INT(O88)+1,'Exhibit 7.1'!$A$1:$I$129,9)</f>
        <v>0.42571544767733116</v>
      </c>
      <c r="Q88" s="424"/>
    </row>
    <row r="89" spans="14:17">
      <c r="N89" s="420">
        <f t="shared" si="2"/>
        <v>0.25</v>
      </c>
      <c r="O89" s="424">
        <f t="shared" si="3"/>
        <v>2008.75</v>
      </c>
      <c r="P89" s="247">
        <f>VLOOKUP(INT(O89),'Exhibit 7.1'!$A$1:$I$129,9)*N89+(1-N89)*VLOOKUP(INT(O89)+1,'Exhibit 7.1'!$A$1:$I$129,9)</f>
        <v>0.4323420846706687</v>
      </c>
      <c r="Q89" s="424"/>
    </row>
    <row r="90" spans="14:17">
      <c r="N90" s="420">
        <f t="shared" si="2"/>
        <v>1</v>
      </c>
      <c r="O90" s="424">
        <f t="shared" si="3"/>
        <v>2009</v>
      </c>
      <c r="P90" s="247">
        <f>VLOOKUP(INT(O90),'Exhibit 7.1'!$A$1:$I$129,9)*N90+(1-N90)*VLOOKUP(INT(O90)+1,'Exhibit 7.1'!$A$1:$I$129,9)</f>
        <v>0.4389687216640063</v>
      </c>
      <c r="Q90" s="424"/>
    </row>
    <row r="91" spans="14:17">
      <c r="N91" s="420">
        <f t="shared" si="2"/>
        <v>0.75</v>
      </c>
      <c r="O91" s="424">
        <f t="shared" si="3"/>
        <v>2009.25</v>
      </c>
      <c r="P91" s="247">
        <f>VLOOKUP(INT(O91),'Exhibit 7.1'!$A$1:$I$129,9)*N91+(1-N91)*VLOOKUP(INT(O91)+1,'Exhibit 7.1'!$A$1:$I$129,9)</f>
        <v>0.44306245355204765</v>
      </c>
      <c r="Q91" s="424"/>
    </row>
    <row r="92" spans="14:17">
      <c r="N92" s="420">
        <f t="shared" si="2"/>
        <v>0.5</v>
      </c>
      <c r="O92" s="424">
        <f t="shared" si="3"/>
        <v>2009.5</v>
      </c>
      <c r="P92" s="247">
        <f>VLOOKUP(INT(O92),'Exhibit 7.1'!$A$1:$I$129,9)*N92+(1-N92)*VLOOKUP(INT(O92)+1,'Exhibit 7.1'!$A$1:$I$129,9)</f>
        <v>0.44715618544008906</v>
      </c>
      <c r="Q92" s="424"/>
    </row>
    <row r="93" spans="14:17">
      <c r="N93" s="420">
        <f t="shared" si="2"/>
        <v>0.25</v>
      </c>
      <c r="O93" s="424">
        <f t="shared" si="3"/>
        <v>2009.75</v>
      </c>
      <c r="P93" s="247">
        <f>VLOOKUP(INT(O93),'Exhibit 7.1'!$A$1:$I$129,9)*N93+(1-N93)*VLOOKUP(INT(O93)+1,'Exhibit 7.1'!$A$1:$I$129,9)</f>
        <v>0.45124991732813047</v>
      </c>
      <c r="Q93" s="424"/>
    </row>
    <row r="94" spans="14:17">
      <c r="N94" s="420">
        <f t="shared" si="2"/>
        <v>1</v>
      </c>
      <c r="O94" s="424">
        <f t="shared" si="3"/>
        <v>2010</v>
      </c>
      <c r="P94" s="247">
        <f>VLOOKUP(INT(O94),'Exhibit 7.1'!$A$1:$I$129,9)*N94+(1-N94)*VLOOKUP(INT(O94)+1,'Exhibit 7.1'!$A$1:$I$129,9)</f>
        <v>0.45534364921617188</v>
      </c>
      <c r="Q94" s="424"/>
    </row>
    <row r="95" spans="14:17">
      <c r="N95" s="420">
        <f t="shared" si="2"/>
        <v>0.75</v>
      </c>
      <c r="O95" s="424">
        <f t="shared" si="3"/>
        <v>2010.25</v>
      </c>
      <c r="P95" s="247">
        <f>VLOOKUP(INT(O95),'Exhibit 7.1'!$A$1:$I$129,9)*N95+(1-N95)*VLOOKUP(INT(O95)+1,'Exhibit 7.1'!$A$1:$I$129,9)</f>
        <v>0.4554786591221659</v>
      </c>
      <c r="Q95" s="424"/>
    </row>
    <row r="96" spans="14:17">
      <c r="N96" s="420">
        <f t="shared" si="2"/>
        <v>0.5</v>
      </c>
      <c r="O96" s="424">
        <f t="shared" si="3"/>
        <v>2010.5</v>
      </c>
      <c r="P96" s="247">
        <f>VLOOKUP(INT(O96),'Exhibit 7.1'!$A$1:$I$129,9)*N96+(1-N96)*VLOOKUP(INT(O96)+1,'Exhibit 7.1'!$A$1:$I$129,9)</f>
        <v>0.45561366902815992</v>
      </c>
      <c r="Q96" s="424"/>
    </row>
    <row r="97" spans="14:17">
      <c r="N97" s="420">
        <f t="shared" si="2"/>
        <v>0.25</v>
      </c>
      <c r="O97" s="424">
        <f t="shared" si="3"/>
        <v>2010.75</v>
      </c>
      <c r="P97" s="247">
        <f>VLOOKUP(INT(O97),'Exhibit 7.1'!$A$1:$I$129,9)*N97+(1-N97)*VLOOKUP(INT(O97)+1,'Exhibit 7.1'!$A$1:$I$129,9)</f>
        <v>0.45574867893415394</v>
      </c>
      <c r="Q97" s="424"/>
    </row>
    <row r="98" spans="14:17">
      <c r="N98" s="420">
        <f t="shared" si="2"/>
        <v>1</v>
      </c>
      <c r="O98" s="424">
        <v>2011</v>
      </c>
      <c r="P98" s="247">
        <f>VLOOKUP(INT(O98),'Exhibit 7.1'!$A$1:$I$129,9)*N98+(1-N98)*VLOOKUP(INT(O98)+1,'Exhibit 7.1'!$A$1:$I$129,9)</f>
        <v>0.45588368884014802</v>
      </c>
      <c r="Q98" s="424"/>
    </row>
    <row r="99" spans="14:17">
      <c r="N99" s="420">
        <f t="shared" si="2"/>
        <v>0.75</v>
      </c>
      <c r="O99" s="424">
        <f t="shared" ref="O99:O156" si="4">+O98+0.25</f>
        <v>2011.25</v>
      </c>
      <c r="P99" s="247">
        <f>VLOOKUP(INT(O99),'Exhibit 7.1'!$A$1:$I$129,9)*N99+(1-N99)*VLOOKUP(INT(O99)+1,'Exhibit 7.1'!$A$1:$I$129,9)</f>
        <v>0.45549990921459577</v>
      </c>
      <c r="Q99" s="424"/>
    </row>
    <row r="100" spans="14:17">
      <c r="N100" s="420">
        <f t="shared" si="2"/>
        <v>0.5</v>
      </c>
      <c r="O100" s="424">
        <f t="shared" si="4"/>
        <v>2011.5</v>
      </c>
      <c r="P100" s="247">
        <f>VLOOKUP(INT(O100),'Exhibit 7.1'!$A$1:$I$129,9)*N100+(1-N100)*VLOOKUP(INT(O100)+1,'Exhibit 7.1'!$A$1:$I$129,9)</f>
        <v>0.45511612958904357</v>
      </c>
      <c r="Q100" s="424"/>
    </row>
    <row r="101" spans="14:17">
      <c r="N101" s="420">
        <f t="shared" si="2"/>
        <v>0.25</v>
      </c>
      <c r="O101" s="424">
        <f t="shared" si="4"/>
        <v>2011.75</v>
      </c>
      <c r="P101" s="247">
        <f>VLOOKUP(INT(O101),'Exhibit 7.1'!$A$1:$I$129,9)*N101+(1-N101)*VLOOKUP(INT(O101)+1,'Exhibit 7.1'!$A$1:$I$129,9)</f>
        <v>0.45473234996349138</v>
      </c>
      <c r="Q101" s="424"/>
    </row>
    <row r="102" spans="14:17">
      <c r="N102" s="420">
        <f t="shared" si="2"/>
        <v>1</v>
      </c>
      <c r="O102" s="424">
        <f t="shared" si="4"/>
        <v>2012</v>
      </c>
      <c r="P102" s="247">
        <f>VLOOKUP(INT(O102),'Exhibit 7.1'!$A$1:$I$129,9)*N102+(1-N102)*VLOOKUP(INT(O102)+1,'Exhibit 7.1'!$A$1:$I$129,9)</f>
        <v>0.45434857033793913</v>
      </c>
      <c r="Q102" s="424"/>
    </row>
    <row r="103" spans="14:17">
      <c r="N103" s="420">
        <f t="shared" si="2"/>
        <v>0.75</v>
      </c>
      <c r="O103" s="424">
        <f t="shared" si="4"/>
        <v>2012.25</v>
      </c>
      <c r="P103" s="247">
        <f>VLOOKUP(INT(O103),'Exhibit 7.1'!$A$1:$I$129,9)*N103+(1-N103)*VLOOKUP(INT(O103)+1,'Exhibit 7.1'!$A$1:$I$129,9)</f>
        <v>0.44858920906571209</v>
      </c>
      <c r="Q103" s="424"/>
    </row>
    <row r="104" spans="14:17">
      <c r="N104" s="420">
        <f t="shared" si="2"/>
        <v>0.5</v>
      </c>
      <c r="O104" s="424">
        <f t="shared" si="4"/>
        <v>2012.5</v>
      </c>
      <c r="P104" s="247">
        <f>VLOOKUP(INT(O104),'Exhibit 7.1'!$A$1:$I$129,9)*N104+(1-N104)*VLOOKUP(INT(O104)+1,'Exhibit 7.1'!$A$1:$I$129,9)</f>
        <v>0.442829847793485</v>
      </c>
      <c r="Q104" s="424"/>
    </row>
    <row r="105" spans="14:17">
      <c r="N105" s="420">
        <f t="shared" si="2"/>
        <v>0.25</v>
      </c>
      <c r="O105" s="424">
        <f t="shared" si="4"/>
        <v>2012.75</v>
      </c>
      <c r="P105" s="247">
        <f>VLOOKUP(INT(O105),'Exhibit 7.1'!$A$1:$I$129,9)*N105+(1-N105)*VLOOKUP(INT(O105)+1,'Exhibit 7.1'!$A$1:$I$129,9)</f>
        <v>0.43707048652125791</v>
      </c>
      <c r="Q105" s="424"/>
    </row>
    <row r="106" spans="14:17">
      <c r="N106" s="420">
        <f t="shared" si="2"/>
        <v>1</v>
      </c>
      <c r="O106" s="424">
        <f t="shared" si="4"/>
        <v>2013</v>
      </c>
      <c r="P106" s="247">
        <f ca="1">VLOOKUP(INT(O106),'Exhibit 7.1'!$A$1:$I$129,9)*N106+(1-N106)*VLOOKUP(INT(O106)+1,'Exhibit 7.1'!$A$1:$I$129,9)</f>
        <v>0.43131112524903081</v>
      </c>
      <c r="Q106" s="424"/>
    </row>
    <row r="107" spans="14:17">
      <c r="N107" s="420">
        <f t="shared" si="2"/>
        <v>0.75</v>
      </c>
      <c r="O107" s="424">
        <f t="shared" si="4"/>
        <v>2013.25</v>
      </c>
      <c r="P107" s="247">
        <f ca="1">VLOOKUP(INT(O107),'Exhibit 7.1'!$A$1:$I$129,9)*N107+(1-N107)*VLOOKUP(INT(O107)+1,'Exhibit 7.1'!$A$1:$I$129,9)</f>
        <v>0.42556867986461205</v>
      </c>
      <c r="Q107" s="424"/>
    </row>
    <row r="108" spans="14:17">
      <c r="N108" s="420">
        <f t="shared" si="2"/>
        <v>0.5</v>
      </c>
      <c r="O108" s="424">
        <f t="shared" si="4"/>
        <v>2013.5</v>
      </c>
      <c r="P108" s="247">
        <f ca="1">VLOOKUP(INT(O108),'Exhibit 7.1'!$A$1:$I$129,9)*N108+(1-N108)*VLOOKUP(INT(O108)+1,'Exhibit 7.1'!$A$1:$I$129,9)</f>
        <v>0.41982623448019324</v>
      </c>
      <c r="Q108" s="424"/>
    </row>
    <row r="109" spans="14:17">
      <c r="N109" s="420">
        <f t="shared" si="2"/>
        <v>0.25</v>
      </c>
      <c r="O109" s="424">
        <f t="shared" si="4"/>
        <v>2013.75</v>
      </c>
      <c r="P109" s="247">
        <f ca="1">VLOOKUP(INT(O109),'Exhibit 7.1'!$A$1:$I$129,9)*N109+(1-N109)*VLOOKUP(INT(O109)+1,'Exhibit 7.1'!$A$1:$I$129,9)</f>
        <v>0.41408378909577448</v>
      </c>
      <c r="Q109" s="424"/>
    </row>
    <row r="110" spans="14:17">
      <c r="N110" s="420">
        <f t="shared" si="2"/>
        <v>1</v>
      </c>
      <c r="O110" s="424">
        <f t="shared" si="4"/>
        <v>2014</v>
      </c>
      <c r="P110" s="247">
        <f ca="1">VLOOKUP(INT(O110),'Exhibit 7.1'!$A$1:$I$129,9)*N110+(1-N110)*VLOOKUP(INT(O110)+1,'Exhibit 7.1'!$A$1:$I$129,9)</f>
        <v>0.40834134371135566</v>
      </c>
      <c r="Q110" s="424"/>
    </row>
    <row r="111" spans="14:17">
      <c r="N111" s="420">
        <f t="shared" si="2"/>
        <v>0.75</v>
      </c>
      <c r="O111" s="424">
        <f t="shared" si="4"/>
        <v>2014.25</v>
      </c>
      <c r="P111" s="247">
        <f ca="1">VLOOKUP(INT(O111),'Exhibit 7.1'!$A$1:$I$129,9)*N111+(1-N111)*VLOOKUP(INT(O111)+1,'Exhibit 7.1'!$A$1:$I$129,9)</f>
        <v>0.40892742595403309</v>
      </c>
      <c r="Q111" s="424"/>
    </row>
    <row r="112" spans="14:17">
      <c r="N112" s="420">
        <f t="shared" si="2"/>
        <v>0.5</v>
      </c>
      <c r="O112" s="424">
        <f t="shared" si="4"/>
        <v>2014.5</v>
      </c>
      <c r="P112" s="247">
        <f ca="1">VLOOKUP(INT(O112),'Exhibit 7.1'!$A$1:$I$129,9)*N112+(1-N112)*VLOOKUP(INT(O112)+1,'Exhibit 7.1'!$A$1:$I$129,9)</f>
        <v>0.40951350819671056</v>
      </c>
      <c r="Q112" s="424"/>
    </row>
    <row r="113" spans="14:17">
      <c r="N113" s="420">
        <f t="shared" si="2"/>
        <v>0.25</v>
      </c>
      <c r="O113" s="424">
        <f t="shared" si="4"/>
        <v>2014.75</v>
      </c>
      <c r="P113" s="247">
        <f ca="1">VLOOKUP(INT(O113),'Exhibit 7.1'!$A$1:$I$129,9)*N113+(1-N113)*VLOOKUP(INT(O113)+1,'Exhibit 7.1'!$A$1:$I$129,9)</f>
        <v>0.41009959043938798</v>
      </c>
      <c r="Q113" s="424"/>
    </row>
    <row r="114" spans="14:17">
      <c r="N114" s="420">
        <f t="shared" si="2"/>
        <v>1</v>
      </c>
      <c r="O114" s="424">
        <f t="shared" si="4"/>
        <v>2015</v>
      </c>
      <c r="P114" s="247">
        <f ca="1">VLOOKUP(INT(O114),'Exhibit 7.1'!$A$1:$I$129,9)*N114+(1-N114)*VLOOKUP(INT(O114)+1,'Exhibit 7.1'!$A$1:$I$129,9)</f>
        <v>0.41068567268206546</v>
      </c>
      <c r="Q114" s="424"/>
    </row>
    <row r="115" spans="14:17">
      <c r="N115" s="420">
        <f t="shared" si="2"/>
        <v>0.75</v>
      </c>
      <c r="O115" s="424">
        <f t="shared" si="4"/>
        <v>2015.25</v>
      </c>
      <c r="P115" s="247">
        <f ca="1">VLOOKUP(INT(O115),'Exhibit 7.1'!$A$1:$I$129,9)*N115+(1-N115)*VLOOKUP(INT(O115)+1,'Exhibit 7.1'!$A$1:$I$129,9)</f>
        <v>0.40147286197328258</v>
      </c>
      <c r="Q115" s="424"/>
    </row>
    <row r="116" spans="14:17">
      <c r="N116" s="420">
        <f t="shared" si="2"/>
        <v>0.5</v>
      </c>
      <c r="O116" s="424">
        <f t="shared" si="4"/>
        <v>2015.5</v>
      </c>
      <c r="P116" s="247">
        <f ca="1">VLOOKUP(INT(O116),'Exhibit 7.1'!$A$1:$I$129,9)*N116+(1-N116)*VLOOKUP(INT(O116)+1,'Exhibit 7.1'!$A$1:$I$129,9)</f>
        <v>0.39226005126449981</v>
      </c>
      <c r="Q116" s="425"/>
    </row>
    <row r="117" spans="14:17">
      <c r="N117" s="420">
        <f t="shared" si="2"/>
        <v>0.25</v>
      </c>
      <c r="O117" s="424">
        <f t="shared" si="4"/>
        <v>2015.75</v>
      </c>
      <c r="P117" s="247">
        <f ca="1">VLOOKUP(INT(O117),'Exhibit 7.1'!$A$1:$I$129,9)*N117+(1-N117)*VLOOKUP(INT(O117)+1,'Exhibit 7.1'!$A$1:$I$129,9)</f>
        <v>0.38304724055571693</v>
      </c>
      <c r="Q117" s="425"/>
    </row>
    <row r="118" spans="14:17">
      <c r="N118" s="420">
        <f t="shared" si="2"/>
        <v>1</v>
      </c>
      <c r="O118" s="424">
        <f t="shared" si="4"/>
        <v>2016</v>
      </c>
      <c r="P118" s="247">
        <f ca="1">VLOOKUP(INT(O118),'Exhibit 7.1'!$A$1:$I$129,9)*N118+(1-N118)*VLOOKUP(INT(O118)+1,'Exhibit 7.1'!$A$1:$I$129,9)</f>
        <v>0.3738344298469341</v>
      </c>
      <c r="Q118" s="425"/>
    </row>
    <row r="119" spans="14:17">
      <c r="N119" s="420">
        <f t="shared" si="2"/>
        <v>0.75</v>
      </c>
      <c r="O119" s="424">
        <f t="shared" si="4"/>
        <v>2016.25</v>
      </c>
      <c r="P119" s="247">
        <f ca="1">VLOOKUP(INT(O119),'Exhibit 7.1'!$A$1:$I$129,9)*N119+(1-N119)*VLOOKUP(INT(O119)+1,'Exhibit 7.1'!$A$1:$I$129,9)</f>
        <v>0.36982930170829664</v>
      </c>
      <c r="Q119" s="425"/>
    </row>
    <row r="120" spans="14:17">
      <c r="N120" s="420">
        <f t="shared" si="2"/>
        <v>0.5</v>
      </c>
      <c r="O120" s="424">
        <f t="shared" si="4"/>
        <v>2016.5</v>
      </c>
      <c r="P120" s="247">
        <f ca="1">VLOOKUP(INT(O120),'Exhibit 7.1'!$A$1:$I$129,9)*N120+(1-N120)*VLOOKUP(INT(O120)+1,'Exhibit 7.1'!$A$1:$I$129,9)</f>
        <v>0.36582417356965924</v>
      </c>
      <c r="Q120" s="425"/>
    </row>
    <row r="121" spans="14:17">
      <c r="N121" s="420">
        <f t="shared" si="2"/>
        <v>0.25</v>
      </c>
      <c r="O121" s="424">
        <f t="shared" si="4"/>
        <v>2016.75</v>
      </c>
      <c r="P121" s="247">
        <f ca="1">VLOOKUP(INT(O121),'Exhibit 7.1'!$A$1:$I$129,9)*N121+(1-N121)*VLOOKUP(INT(O121)+1,'Exhibit 7.1'!$A$1:$I$129,9)</f>
        <v>0.36181904543102172</v>
      </c>
      <c r="Q121" s="425"/>
    </row>
    <row r="122" spans="14:17">
      <c r="N122" s="420">
        <f t="shared" si="2"/>
        <v>1</v>
      </c>
      <c r="O122" s="424">
        <f t="shared" si="4"/>
        <v>2017</v>
      </c>
      <c r="P122" s="247">
        <f ca="1">VLOOKUP(INT(O122),'Exhibit 7.1'!$A$1:$I$129,9)*N122+(1-N122)*VLOOKUP(INT(O122)+1,'Exhibit 7.1'!$A$1:$I$129,9)</f>
        <v>0.35781391729238432</v>
      </c>
      <c r="Q122" s="425"/>
    </row>
    <row r="123" spans="14:17">
      <c r="N123" s="420">
        <f t="shared" si="2"/>
        <v>0.75</v>
      </c>
      <c r="O123" s="424">
        <f t="shared" si="4"/>
        <v>2017.25</v>
      </c>
      <c r="P123" s="247">
        <f ca="1">VLOOKUP(INT(O123),'Exhibit 7.1'!$A$1:$I$129,9)*N123+(1-N123)*VLOOKUP(INT(O123)+1,'Exhibit 7.1'!$A$1:$I$129,9)</f>
        <v>0.3568305426597112</v>
      </c>
      <c r="Q123" s="425"/>
    </row>
    <row r="124" spans="14:17">
      <c r="N124" s="420">
        <f t="shared" si="2"/>
        <v>0.5</v>
      </c>
      <c r="O124" s="424">
        <f t="shared" si="4"/>
        <v>2017.5</v>
      </c>
      <c r="P124" s="247">
        <f ca="1">VLOOKUP(INT(O124),'Exhibit 7.1'!$A$1:$I$129,9)*N124+(1-N124)*VLOOKUP(INT(O124)+1,'Exhibit 7.1'!$A$1:$I$129,9)</f>
        <v>0.3558471680270382</v>
      </c>
      <c r="Q124" s="425"/>
    </row>
    <row r="125" spans="14:17">
      <c r="N125" s="420">
        <f t="shared" si="2"/>
        <v>0.25</v>
      </c>
      <c r="O125" s="424">
        <f t="shared" si="4"/>
        <v>2017.75</v>
      </c>
      <c r="P125" s="247">
        <f ca="1">VLOOKUP(INT(O125),'Exhibit 7.1'!$A$1:$I$129,9)*N125+(1-N125)*VLOOKUP(INT(O125)+1,'Exhibit 7.1'!$A$1:$I$129,9)</f>
        <v>0.35486379339436513</v>
      </c>
      <c r="Q125" s="425"/>
    </row>
    <row r="126" spans="14:17">
      <c r="N126" s="420">
        <f t="shared" si="2"/>
        <v>1</v>
      </c>
      <c r="O126" s="424">
        <f t="shared" si="4"/>
        <v>2018</v>
      </c>
      <c r="P126" s="247">
        <f ca="1">VLOOKUP(INT(O126),'Exhibit 7.1'!$A$1:$I$129,9)*N126+(1-N126)*VLOOKUP(INT(O126)+1,'Exhibit 7.1'!$A$1:$I$129,9)</f>
        <v>0.35388041876169202</v>
      </c>
      <c r="Q126" s="425"/>
    </row>
    <row r="127" spans="14:17">
      <c r="N127" s="420">
        <f t="shared" si="2"/>
        <v>0.75</v>
      </c>
      <c r="O127" s="424">
        <f t="shared" si="4"/>
        <v>2018.25</v>
      </c>
      <c r="P127" s="247">
        <f ca="1">VLOOKUP(INT(O127),'Exhibit 7.1'!$A$1:$I$129,9)*N127+(1-N127)*VLOOKUP(INT(O127)+1,'Exhibit 7.1'!$A$1:$I$129,9)</f>
        <v>0.35666003381220523</v>
      </c>
      <c r="Q127" s="425"/>
    </row>
    <row r="128" spans="14:17">
      <c r="N128" s="420">
        <f t="shared" si="2"/>
        <v>0.5</v>
      </c>
      <c r="O128" s="424">
        <f t="shared" si="4"/>
        <v>2018.5</v>
      </c>
      <c r="P128" s="247">
        <f ca="1">VLOOKUP(INT(O128),'Exhibit 7.1'!$A$1:$I$129,9)*N128+(1-N128)*VLOOKUP(INT(O128)+1,'Exhibit 7.1'!$A$1:$I$129,9)</f>
        <v>0.3594396488627184</v>
      </c>
      <c r="Q128" s="428"/>
    </row>
    <row r="129" spans="14:18">
      <c r="N129" s="420">
        <f>INT(O129)-O129+1</f>
        <v>0.25</v>
      </c>
      <c r="O129" s="424">
        <f t="shared" si="4"/>
        <v>2018.75</v>
      </c>
      <c r="P129" s="247">
        <f ca="1">VLOOKUP(INT(O129),'Exhibit 7.1'!$A$1:$I$129,9)*N129+(1-N129)*VLOOKUP(INT(O129)+1,'Exhibit 7.1'!$A$1:$I$129,9)</f>
        <v>0.3622192639132315</v>
      </c>
      <c r="Q129" s="428"/>
    </row>
    <row r="130" spans="14:18">
      <c r="N130" s="420">
        <f t="shared" ref="N130:N136" si="5">INT(O130)-O130+1</f>
        <v>1</v>
      </c>
      <c r="O130" s="424">
        <f t="shared" si="4"/>
        <v>2019</v>
      </c>
      <c r="P130" s="247">
        <f ca="1">VLOOKUP(INT(O130),'Exhibit 7.1'!$A$1:$I$129,9)*N130+(1-N130)*VLOOKUP(INT(O130)+1,'Exhibit 7.1'!$A$1:$I$129,9)</f>
        <v>0.36499887896374472</v>
      </c>
      <c r="Q130" s="428"/>
    </row>
    <row r="131" spans="14:18">
      <c r="N131" s="420">
        <f t="shared" si="5"/>
        <v>0.75</v>
      </c>
      <c r="O131" s="424">
        <f t="shared" si="4"/>
        <v>2019.25</v>
      </c>
      <c r="P131" s="247">
        <f ca="1">VLOOKUP(INT(O131),'Exhibit 7.1'!$A$1:$I$129,9)*N131+(1-N131)*VLOOKUP(INT(O131)+1,'Exhibit 7.1'!$A$1:$I$129,9)</f>
        <v>0.36169484388380579</v>
      </c>
      <c r="Q131" s="428"/>
    </row>
    <row r="132" spans="14:18">
      <c r="N132" s="420">
        <f t="shared" si="5"/>
        <v>0.5</v>
      </c>
      <c r="O132" s="424">
        <f t="shared" si="4"/>
        <v>2019.5</v>
      </c>
      <c r="P132" s="247">
        <f ca="1">VLOOKUP(INT(O132),'Exhibit 7.1'!$A$1:$I$129,9)*N132+(1-N132)*VLOOKUP(INT(O132)+1,'Exhibit 7.1'!$A$1:$I$129,9)</f>
        <v>0.35839080880386692</v>
      </c>
      <c r="Q132" s="428"/>
    </row>
    <row r="133" spans="14:18">
      <c r="N133" s="420">
        <f t="shared" si="5"/>
        <v>0.25</v>
      </c>
      <c r="O133" s="424">
        <f t="shared" si="4"/>
        <v>2019.75</v>
      </c>
      <c r="P133" s="247">
        <f ca="1">VLOOKUP(INT(O133),'Exhibit 7.1'!$A$1:$I$129,9)*N133+(1-N133)*VLOOKUP(INT(O133)+1,'Exhibit 7.1'!$A$1:$I$129,9)</f>
        <v>0.35508677372392805</v>
      </c>
      <c r="Q133" s="428"/>
    </row>
    <row r="134" spans="14:18">
      <c r="N134" s="420">
        <f t="shared" si="5"/>
        <v>1</v>
      </c>
      <c r="O134" s="424">
        <f t="shared" si="4"/>
        <v>2020</v>
      </c>
      <c r="P134" s="247">
        <f ca="1">VLOOKUP(INT(O134),'Exhibit 7.1'!$A$1:$I$129,9)*N134+(1-N134)*VLOOKUP(INT(O134)+1,'Exhibit 7.1'!$A$1:$I$129,9)</f>
        <v>0.35178273864398912</v>
      </c>
      <c r="Q134" s="429"/>
    </row>
    <row r="135" spans="14:18">
      <c r="N135" s="420">
        <f t="shared" si="5"/>
        <v>0.75</v>
      </c>
      <c r="O135" s="424">
        <f t="shared" si="4"/>
        <v>2020.25</v>
      </c>
      <c r="P135" s="247">
        <f ca="1">VLOOKUP(INT(O135),'Exhibit 7.1'!$A$1:$I$129,9)*N135+(1-N135)*VLOOKUP(INT(O135)+1,'Exhibit 7.1'!$A$1:$I$129,9)</f>
        <v>0.35776176624683048</v>
      </c>
      <c r="Q135" s="430"/>
    </row>
    <row r="136" spans="14:18">
      <c r="N136" s="420">
        <f t="shared" si="5"/>
        <v>0.5</v>
      </c>
      <c r="O136" s="424">
        <f t="shared" si="4"/>
        <v>2020.5</v>
      </c>
      <c r="P136" s="247">
        <f ca="1">VLOOKUP(INT(O136),'Exhibit 7.1'!$A$1:$I$129,9)*N136+(1-N136)*VLOOKUP(INT(O136)+1,'Exhibit 7.1'!$A$1:$I$129,9)</f>
        <v>0.36374079384967184</v>
      </c>
      <c r="Q136" s="428"/>
    </row>
    <row r="137" spans="14:18">
      <c r="N137" s="420">
        <f>INT(O137)-O137+1</f>
        <v>0.25</v>
      </c>
      <c r="O137" s="424">
        <f t="shared" si="4"/>
        <v>2020.75</v>
      </c>
      <c r="P137" s="247">
        <f ca="1">VLOOKUP(INT(O137),'Exhibit 7.1'!$A$1:$I$129,9)*N137+(1-N137)*VLOOKUP(INT(O137)+1,'Exhibit 7.1'!$A$1:$I$129,9)</f>
        <v>0.3697198214525132</v>
      </c>
      <c r="Q137" s="428"/>
    </row>
    <row r="138" spans="14:18">
      <c r="N138" s="420">
        <f>INT(O138)-O138+1</f>
        <v>1</v>
      </c>
      <c r="O138" s="424">
        <f t="shared" si="4"/>
        <v>2021</v>
      </c>
      <c r="P138" s="247">
        <f ca="1">VLOOKUP(INT(O138),'Exhibit 7.1'!$A$1:$I$129,9)*N138+(1-N138)*VLOOKUP(INT(O138)+1,'Exhibit 7.1'!$A$1:$I$129,9)</f>
        <v>0.37569884905535456</v>
      </c>
      <c r="Q138" s="429"/>
    </row>
    <row r="139" spans="14:18">
      <c r="N139" s="420">
        <f>INT(O139)-O139+1</f>
        <v>0.75</v>
      </c>
      <c r="O139" s="424">
        <f t="shared" si="4"/>
        <v>2021.25</v>
      </c>
      <c r="P139" s="247">
        <f ca="1">VLOOKUP(INT(O139),'Exhibit 7.1'!$A$1:$I$129,9)*N139+(1-N139)*VLOOKUP(INT(O139)+1,'Exhibit 7.1'!$A$1:$I$129,9)</f>
        <v>0.37323919690889418</v>
      </c>
      <c r="Q139" s="430"/>
    </row>
    <row r="140" spans="14:18">
      <c r="N140" s="420">
        <f>INT(O140)-O140+1</f>
        <v>0.5</v>
      </c>
      <c r="O140" s="424">
        <f t="shared" si="4"/>
        <v>2021.5</v>
      </c>
      <c r="P140" s="247">
        <f ca="1">VLOOKUP(INT(O140),'Exhibit 7.1'!$A$1:$I$129,9)*N140+(1-N140)*VLOOKUP(INT(O140)+1,'Exhibit 7.1'!$A$1:$I$129,9)</f>
        <v>0.37077954476243385</v>
      </c>
      <c r="Q140" s="430"/>
    </row>
    <row r="141" spans="14:18">
      <c r="N141" s="420">
        <f t="shared" ref="N141:N156" si="6">INT(O141)-O141+1</f>
        <v>0.25</v>
      </c>
      <c r="O141" s="424">
        <f t="shared" si="4"/>
        <v>2021.75</v>
      </c>
      <c r="P141" s="247">
        <f ca="1">VLOOKUP(INT(O141),'Exhibit 7.1'!$A$1:$I$129,9)*N141+(1-N141)*VLOOKUP(INT(O141)+1,'Exhibit 7.1'!$A$1:$I$129,9)</f>
        <v>0.36831989261597348</v>
      </c>
      <c r="Q141" s="430"/>
    </row>
    <row r="142" spans="14:18">
      <c r="N142" s="420">
        <f t="shared" si="6"/>
        <v>1</v>
      </c>
      <c r="O142" s="424">
        <f t="shared" si="4"/>
        <v>2022</v>
      </c>
      <c r="P142" s="247">
        <f ca="1">VLOOKUP(INT(O142),'Exhibit 7.1'!$A$1:$I$129,9)*N142+(1-N142)*VLOOKUP(INT(O142)+1,'Exhibit 7.1'!$A$1:$I$129,9)</f>
        <v>0.36586024046951315</v>
      </c>
      <c r="Q142" s="430"/>
      <c r="R142" s="429"/>
    </row>
    <row r="143" spans="14:18">
      <c r="N143" s="420">
        <f t="shared" si="6"/>
        <v>0.75</v>
      </c>
      <c r="O143" s="424">
        <f t="shared" si="4"/>
        <v>2022.25</v>
      </c>
      <c r="P143" s="247">
        <f ca="1">VLOOKUP(INT(O143),'Exhibit 7.1'!$A$1:$I$129,9)*N143+(1-N143)*VLOOKUP(INT(O143)+1,'Exhibit 7.1'!$A$1:$I$129,9)</f>
        <v>0.36163193510822156</v>
      </c>
      <c r="Q143" s="430"/>
    </row>
    <row r="144" spans="14:18">
      <c r="N144" s="420">
        <f t="shared" si="6"/>
        <v>0.5</v>
      </c>
      <c r="O144" s="424">
        <f t="shared" si="4"/>
        <v>2022.5</v>
      </c>
      <c r="P144" s="247">
        <f ca="1">VLOOKUP(INT(O144),'Exhibit 7.1'!$A$1:$I$129,9)*N144+(1-N144)*VLOOKUP(INT(O144)+1,'Exhibit 7.1'!$A$1:$I$129,9)</f>
        <v>0.35740362974693007</v>
      </c>
      <c r="Q144" s="430"/>
    </row>
    <row r="145" spans="14:17">
      <c r="N145" s="420">
        <f t="shared" si="6"/>
        <v>0.25</v>
      </c>
      <c r="O145" s="424">
        <f t="shared" si="4"/>
        <v>2022.75</v>
      </c>
      <c r="P145" s="247">
        <f ca="1">VLOOKUP(INT(O145),'Exhibit 7.1'!$A$1:$I$129,9)*N145+(1-N145)*VLOOKUP(INT(O145)+1,'Exhibit 7.1'!$A$1:$I$129,9)</f>
        <v>0.35317532438563859</v>
      </c>
      <c r="Q145" s="430"/>
    </row>
    <row r="146" spans="14:17">
      <c r="N146" s="420">
        <f t="shared" si="6"/>
        <v>1</v>
      </c>
      <c r="O146" s="424">
        <f t="shared" si="4"/>
        <v>2023</v>
      </c>
      <c r="P146" s="247">
        <f ca="1">VLOOKUP(INT(O146),'Exhibit 7.1'!$A$1:$I$129,9)*N146+(1-N146)*VLOOKUP(INT(O146)+1,'Exhibit 7.1'!$A$1:$I$129,9)</f>
        <v>0.34894701902434699</v>
      </c>
      <c r="Q146" s="247">
        <f ca="1">$P146</f>
        <v>0.34894701902434699</v>
      </c>
    </row>
    <row r="147" spans="14:17">
      <c r="N147" s="420">
        <f t="shared" si="6"/>
        <v>0.75</v>
      </c>
      <c r="O147" s="424">
        <f t="shared" si="4"/>
        <v>2023.25</v>
      </c>
      <c r="Q147" s="247">
        <f ca="1">$Q$146*$N147+(1-$N147)*$Q$150</f>
        <v>0.35019571818086137</v>
      </c>
    </row>
    <row r="148" spans="14:17">
      <c r="N148" s="420">
        <f t="shared" si="6"/>
        <v>0.5</v>
      </c>
      <c r="O148" s="424">
        <f t="shared" si="4"/>
        <v>2023.5</v>
      </c>
      <c r="Q148" s="247">
        <f ca="1">$Q$146*$N148+(1-$N148)*$Q$150</f>
        <v>0.35144441733737564</v>
      </c>
    </row>
    <row r="149" spans="14:17">
      <c r="N149" s="420">
        <f t="shared" si="6"/>
        <v>0.25</v>
      </c>
      <c r="O149" s="424">
        <f t="shared" si="4"/>
        <v>2023.75</v>
      </c>
      <c r="Q149" s="247">
        <f ca="1">$Q$146*$N149+(1-$N149)*$Q$150</f>
        <v>0.35269311649389001</v>
      </c>
    </row>
    <row r="150" spans="14:17">
      <c r="N150" s="420">
        <f t="shared" si="6"/>
        <v>1</v>
      </c>
      <c r="O150" s="424">
        <f t="shared" si="4"/>
        <v>2024</v>
      </c>
      <c r="Q150" s="247">
        <f ca="1">'Exhibit 7.1'!$I$48</f>
        <v>0.35394181565040433</v>
      </c>
    </row>
    <row r="151" spans="14:17">
      <c r="N151" s="420">
        <f t="shared" si="6"/>
        <v>0.75</v>
      </c>
      <c r="O151" s="424">
        <f t="shared" si="4"/>
        <v>2024.25</v>
      </c>
      <c r="Q151" s="247">
        <f ca="1">$Q$150*$N151+(1-$N151)*$Q$154</f>
        <v>0.3542302479799499</v>
      </c>
    </row>
    <row r="152" spans="14:17">
      <c r="N152" s="420">
        <f t="shared" si="6"/>
        <v>0.5</v>
      </c>
      <c r="O152" s="424">
        <f t="shared" si="4"/>
        <v>2024.5</v>
      </c>
      <c r="Q152" s="247">
        <f ca="1">$Q$150*$N152+(1-$N152)*$Q$154</f>
        <v>0.35451868030949552</v>
      </c>
    </row>
    <row r="153" spans="14:17">
      <c r="N153" s="420">
        <f t="shared" si="6"/>
        <v>0.25</v>
      </c>
      <c r="O153" s="424">
        <f t="shared" si="4"/>
        <v>2024.75</v>
      </c>
      <c r="Q153" s="247">
        <f ca="1">$Q$150*$N153+(1-$N153)*$Q$154</f>
        <v>0.35480711263904113</v>
      </c>
    </row>
    <row r="154" spans="14:17">
      <c r="N154" s="420">
        <f t="shared" si="6"/>
        <v>1</v>
      </c>
      <c r="O154" s="424">
        <f t="shared" si="4"/>
        <v>2025</v>
      </c>
      <c r="Q154" s="247">
        <f ca="1">'Exhibit 7.1'!$I$49</f>
        <v>0.3550955449685867</v>
      </c>
    </row>
    <row r="155" spans="14:17">
      <c r="N155" s="420">
        <f t="shared" si="6"/>
        <v>0.75</v>
      </c>
      <c r="O155" s="424">
        <f t="shared" si="4"/>
        <v>2025.25</v>
      </c>
      <c r="Q155" s="247">
        <f ca="1">AVERAGE($Q$154,$Q$156)</f>
        <v>0.35449594666028039</v>
      </c>
    </row>
    <row r="156" spans="14:17">
      <c r="N156" s="420">
        <f t="shared" si="6"/>
        <v>0.5</v>
      </c>
      <c r="O156" s="424">
        <f t="shared" si="4"/>
        <v>2025.5</v>
      </c>
      <c r="Q156" s="247">
        <f ca="1">'Exhibit 7.1'!$I$50</f>
        <v>0.35389634835197409</v>
      </c>
    </row>
  </sheetData>
  <mergeCells count="1">
    <mergeCell ref="A37:K38"/>
  </mergeCells>
  <pageMargins left="0.5" right="0.5" top="0.75" bottom="0.75" header="0.33" footer="0.33"/>
  <pageSetup scale="95" orientation="portrait" r:id="rId1"/>
  <headerFooter scaleWithDoc="0">
    <oddHeader>&amp;R&amp;"Arial,Regular"&amp;10Exhibit 7.2</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pageSetUpPr fitToPage="1"/>
  </sheetPr>
  <dimension ref="A1:O56"/>
  <sheetViews>
    <sheetView zoomScaleNormal="100" zoomScaleSheetLayoutView="85" workbookViewId="0"/>
  </sheetViews>
  <sheetFormatPr defaultColWidth="9.140625" defaultRowHeight="12.75"/>
  <cols>
    <col min="1" max="1" width="9.140625" style="53"/>
    <col min="2" max="2" width="5.85546875" style="53" customWidth="1"/>
    <col min="3" max="3" width="17.85546875" style="53" customWidth="1"/>
    <col min="4" max="4" width="5.85546875" style="53" customWidth="1"/>
    <col min="5" max="5" width="17.85546875" style="53" customWidth="1"/>
    <col min="6" max="6" width="5.85546875" style="53" customWidth="1"/>
    <col min="7" max="7" width="17.85546875" style="53" customWidth="1"/>
    <col min="8" max="8" width="5.85546875" style="53" customWidth="1"/>
    <col min="9" max="9" width="19.42578125" style="53" customWidth="1"/>
    <col min="10" max="10" width="3.85546875" style="53" customWidth="1"/>
    <col min="11" max="11" width="9.140625" style="53"/>
    <col min="12" max="12" width="21.5703125" style="53" customWidth="1"/>
    <col min="13" max="13" width="21.140625" style="53" customWidth="1"/>
    <col min="14" max="16384" width="9.140625" style="53"/>
  </cols>
  <sheetData>
    <row r="1" spans="1:15">
      <c r="A1" s="238" t="s">
        <v>200</v>
      </c>
      <c r="B1" s="162"/>
      <c r="C1" s="162"/>
      <c r="D1" s="162"/>
      <c r="E1" s="162"/>
      <c r="F1" s="162"/>
      <c r="G1" s="162"/>
      <c r="H1" s="162"/>
      <c r="I1" s="162"/>
      <c r="J1" s="239"/>
      <c r="K1" s="54"/>
      <c r="L1" s="54"/>
      <c r="M1" s="54"/>
      <c r="N1" s="54"/>
      <c r="O1" s="54"/>
    </row>
    <row r="2" spans="1:15">
      <c r="A2" s="99" t="s">
        <v>344</v>
      </c>
      <c r="B2" s="162"/>
      <c r="C2" s="162"/>
      <c r="D2" s="162"/>
      <c r="E2" s="162"/>
      <c r="F2" s="162"/>
      <c r="G2" s="162"/>
      <c r="H2" s="162"/>
      <c r="I2" s="162"/>
      <c r="J2" s="214"/>
      <c r="K2" s="54"/>
      <c r="L2" s="54"/>
      <c r="M2" s="54"/>
      <c r="N2" s="54"/>
      <c r="O2" s="54"/>
    </row>
    <row r="3" spans="1:15">
      <c r="A3" s="99" t="s">
        <v>492</v>
      </c>
      <c r="B3" s="162"/>
      <c r="C3" s="162"/>
      <c r="D3" s="162"/>
      <c r="E3" s="162"/>
      <c r="F3" s="162"/>
      <c r="G3" s="162"/>
      <c r="H3" s="162"/>
      <c r="I3" s="162"/>
      <c r="J3" s="214"/>
      <c r="K3" s="54"/>
      <c r="L3" s="54"/>
      <c r="M3" s="54"/>
      <c r="N3" s="54"/>
      <c r="O3" s="54"/>
    </row>
    <row r="4" spans="1:15">
      <c r="A4" s="28"/>
      <c r="B4" s="28"/>
      <c r="C4" s="28"/>
      <c r="D4" s="28"/>
      <c r="E4" s="28"/>
      <c r="F4" s="28"/>
      <c r="G4" s="28"/>
      <c r="H4" s="28"/>
      <c r="I4" s="28"/>
      <c r="J4" s="28"/>
      <c r="K4" s="54"/>
      <c r="L4" s="54"/>
      <c r="M4" s="54"/>
      <c r="N4" s="54"/>
      <c r="O4" s="54"/>
    </row>
    <row r="5" spans="1:15">
      <c r="A5" s="28"/>
      <c r="B5" s="28"/>
      <c r="C5" s="29" t="s">
        <v>38</v>
      </c>
      <c r="D5" s="29"/>
      <c r="E5" s="29" t="s">
        <v>39</v>
      </c>
      <c r="F5" s="29"/>
      <c r="G5" s="29" t="s">
        <v>40</v>
      </c>
      <c r="H5" s="29"/>
      <c r="I5" s="29" t="s">
        <v>41</v>
      </c>
      <c r="J5" s="28"/>
      <c r="K5" s="54"/>
      <c r="L5" s="54"/>
      <c r="M5" s="54"/>
      <c r="N5" s="54"/>
      <c r="O5" s="54"/>
    </row>
    <row r="6" spans="1:15">
      <c r="A6" s="28" t="s">
        <v>46</v>
      </c>
      <c r="B6" s="28"/>
      <c r="C6" s="28" t="s">
        <v>211</v>
      </c>
      <c r="D6" s="123"/>
      <c r="E6" s="215" t="s">
        <v>212</v>
      </c>
      <c r="F6" s="123"/>
      <c r="G6" s="215" t="s">
        <v>204</v>
      </c>
      <c r="H6" s="123"/>
      <c r="I6" s="28" t="s">
        <v>210</v>
      </c>
      <c r="J6" s="28"/>
      <c r="K6" s="54"/>
      <c r="L6" s="54"/>
      <c r="M6" s="54"/>
      <c r="N6" s="54"/>
      <c r="O6" s="54"/>
    </row>
    <row r="7" spans="1:15">
      <c r="A7" s="30" t="s">
        <v>8</v>
      </c>
      <c r="B7" s="30"/>
      <c r="C7" s="30" t="s">
        <v>256</v>
      </c>
      <c r="D7" s="30"/>
      <c r="E7" s="30" t="s">
        <v>259</v>
      </c>
      <c r="F7" s="30"/>
      <c r="G7" s="30" t="s">
        <v>258</v>
      </c>
      <c r="H7" s="30"/>
      <c r="I7" s="30" t="s">
        <v>260</v>
      </c>
      <c r="J7" s="30"/>
      <c r="K7" s="54"/>
      <c r="L7" s="54"/>
      <c r="M7" s="54"/>
      <c r="N7" s="54"/>
      <c r="O7" s="54"/>
    </row>
    <row r="8" spans="1:15">
      <c r="A8" s="28"/>
      <c r="B8" s="28"/>
      <c r="C8" s="240"/>
      <c r="D8" s="28"/>
      <c r="E8" s="240"/>
      <c r="F8" s="28"/>
      <c r="G8" s="240"/>
      <c r="H8" s="28"/>
      <c r="I8" s="28" t="s">
        <v>206</v>
      </c>
      <c r="J8" s="28"/>
      <c r="K8" s="54"/>
      <c r="L8" s="54"/>
      <c r="M8" s="54"/>
      <c r="N8" s="54"/>
      <c r="O8" s="54"/>
    </row>
    <row r="9" spans="1:15">
      <c r="A9" s="28">
        <f>+'Exhibit 7.1'!A9</f>
        <v>1987</v>
      </c>
      <c r="B9" s="28"/>
      <c r="C9" s="23">
        <f>+SUMIFS('Exhibit 3.4'!H:H,'Exhibit 3.4'!A:A,A9)</f>
        <v>0.28707910379308715</v>
      </c>
      <c r="D9" s="28"/>
      <c r="E9" s="23">
        <f>+SUMIFS('Exhibit 4.4'!I:I,'Exhibit 4.4'!A:A,A9)</f>
        <v>0.85531315962196264</v>
      </c>
      <c r="F9" s="28"/>
      <c r="G9" s="23">
        <f>+SUMIFS('Exhibit 5.2'!S:S,'Exhibit 5.2'!A:A,A9)</f>
        <v>1.6538282005305278</v>
      </c>
      <c r="H9" s="28"/>
      <c r="I9" s="23">
        <f>C9*E9/G9</f>
        <v>0.14846919120616017</v>
      </c>
      <c r="J9" s="28"/>
      <c r="K9" s="54"/>
      <c r="L9" s="54"/>
      <c r="M9" s="54"/>
      <c r="N9" s="54"/>
      <c r="O9" s="54"/>
    </row>
    <row r="10" spans="1:15">
      <c r="A10" s="28">
        <f>+'Exhibit 7.1'!A10</f>
        <v>1988</v>
      </c>
      <c r="B10" s="20"/>
      <c r="C10" s="23">
        <f>+SUMIFS('Exhibit 3.4'!H:H,'Exhibit 3.4'!A:A,A10)</f>
        <v>0.28122670726888221</v>
      </c>
      <c r="D10" s="23"/>
      <c r="E10" s="23">
        <f>+SUMIFS('Exhibit 4.4'!I:I,'Exhibit 4.4'!A:A,A10)</f>
        <v>0.82400111716952085</v>
      </c>
      <c r="F10" s="23"/>
      <c r="G10" s="23">
        <f>+SUMIFS('Exhibit 5.2'!S:S,'Exhibit 5.2'!A:A,A10)</f>
        <v>1.4492468451232938</v>
      </c>
      <c r="H10" s="215"/>
      <c r="I10" s="23">
        <f>C10*E10/G10</f>
        <v>0.15989761975141673</v>
      </c>
      <c r="J10" s="20"/>
      <c r="K10" s="61"/>
      <c r="L10" s="54"/>
      <c r="M10" s="54"/>
      <c r="N10" s="61"/>
      <c r="O10" s="54"/>
    </row>
    <row r="11" spans="1:15">
      <c r="A11" s="28">
        <f>+'Exhibit 7.1'!A11</f>
        <v>1989</v>
      </c>
      <c r="B11" s="20"/>
      <c r="C11" s="23">
        <f>+SUMIFS('Exhibit 3.4'!H:H,'Exhibit 3.4'!A:A,A11)</f>
        <v>0.29981592601462553</v>
      </c>
      <c r="D11" s="23"/>
      <c r="E11" s="23">
        <f>+SUMIFS('Exhibit 4.4'!I:I,'Exhibit 4.4'!A:A,A11)</f>
        <v>0.80000108463060271</v>
      </c>
      <c r="F11" s="23"/>
      <c r="G11" s="23">
        <f>+SUMIFS('Exhibit 5.2'!S:S,'Exhibit 5.2'!A:A,A11)</f>
        <v>1.3939820307561253</v>
      </c>
      <c r="H11" s="215"/>
      <c r="I11" s="23">
        <f t="shared" ref="I11:I45" si="0">C11*E11/G11</f>
        <v>0.17206324092364922</v>
      </c>
      <c r="J11" s="20"/>
      <c r="K11" s="61"/>
      <c r="L11" s="54"/>
      <c r="M11" s="54"/>
      <c r="N11" s="61"/>
      <c r="O11" s="54"/>
    </row>
    <row r="12" spans="1:15">
      <c r="A12" s="28">
        <f>+'Exhibit 7.1'!A12</f>
        <v>1990</v>
      </c>
      <c r="B12" s="20"/>
      <c r="C12" s="23">
        <f>+SUMIFS('Exhibit 3.4'!H:H,'Exhibit 3.4'!A:A,A12)</f>
        <v>0.33970195611796733</v>
      </c>
      <c r="D12" s="23"/>
      <c r="E12" s="23">
        <f>+SUMIFS('Exhibit 4.4'!I:I,'Exhibit 4.4'!A:A,A12)</f>
        <v>0.64795282520943509</v>
      </c>
      <c r="F12" s="23"/>
      <c r="G12" s="23">
        <f>+SUMIFS('Exhibit 5.2'!S:S,'Exhibit 5.2'!A:A,A12)</f>
        <v>1.2958571917105428</v>
      </c>
      <c r="H12" s="215"/>
      <c r="I12" s="23">
        <f t="shared" si="0"/>
        <v>0.16985732965316977</v>
      </c>
      <c r="J12" s="20"/>
      <c r="K12" s="61"/>
      <c r="L12" s="54"/>
      <c r="M12" s="54"/>
      <c r="N12" s="61"/>
      <c r="O12" s="54"/>
    </row>
    <row r="13" spans="1:15">
      <c r="A13" s="28">
        <f>+'Exhibit 7.1'!A13</f>
        <v>1991</v>
      </c>
      <c r="B13" s="20"/>
      <c r="C13" s="23">
        <f>+SUMIFS('Exhibit 3.4'!H:H,'Exhibit 3.4'!A:A,A13)</f>
        <v>0.35676834426410464</v>
      </c>
      <c r="D13" s="23"/>
      <c r="E13" s="23">
        <f>+SUMIFS('Exhibit 4.4'!I:I,'Exhibit 4.4'!A:A,A13)</f>
        <v>0.55414716543200104</v>
      </c>
      <c r="F13" s="23"/>
      <c r="G13" s="23">
        <f>+SUMIFS('Exhibit 5.2'!S:S,'Exhibit 5.2'!A:A,A13)</f>
        <v>1.1729150507488251</v>
      </c>
      <c r="H13" s="215"/>
      <c r="I13" s="23">
        <f t="shared" si="0"/>
        <v>0.16855625355272127</v>
      </c>
      <c r="J13" s="20"/>
      <c r="K13" s="61"/>
      <c r="L13" s="54"/>
      <c r="M13" s="54"/>
      <c r="N13" s="61"/>
      <c r="O13" s="54"/>
    </row>
    <row r="14" spans="1:15">
      <c r="A14" s="28">
        <f>+'Exhibit 7.1'!A14</f>
        <v>1992</v>
      </c>
      <c r="B14" s="20"/>
      <c r="C14" s="23">
        <f>+SUMIFS('Exhibit 3.4'!H:H,'Exhibit 3.4'!A:A,A14)</f>
        <v>0.29635956771502087</v>
      </c>
      <c r="D14" s="23"/>
      <c r="E14" s="23">
        <f>+SUMIFS('Exhibit 4.4'!I:I,'Exhibit 4.4'!A:A,A14)</f>
        <v>0.58442173057213731</v>
      </c>
      <c r="F14" s="23"/>
      <c r="G14" s="23">
        <f>+SUMIFS('Exhibit 5.2'!S:S,'Exhibit 5.2'!A:A,A14)</f>
        <v>1.0665338360994496</v>
      </c>
      <c r="H14" s="215"/>
      <c r="I14" s="23">
        <f t="shared" si="0"/>
        <v>0.16239425845976907</v>
      </c>
      <c r="J14" s="20"/>
      <c r="K14" s="61"/>
      <c r="L14" s="54"/>
      <c r="M14" s="54"/>
      <c r="N14" s="61"/>
      <c r="O14" s="54"/>
    </row>
    <row r="15" spans="1:15">
      <c r="A15" s="28">
        <f>+'Exhibit 7.1'!A15</f>
        <v>1993</v>
      </c>
      <c r="B15" s="20"/>
      <c r="C15" s="23">
        <f>+SUMIFS('Exhibit 3.4'!H:H,'Exhibit 3.4'!A:A,A15)</f>
        <v>0.24438927254462403</v>
      </c>
      <c r="D15" s="23"/>
      <c r="E15" s="23">
        <f>+SUMIFS('Exhibit 4.4'!I:I,'Exhibit 4.4'!A:A,A15)</f>
        <v>0.6997175423762112</v>
      </c>
      <c r="F15" s="23"/>
      <c r="G15" s="23">
        <f>+SUMIFS('Exhibit 5.2'!S:S,'Exhibit 5.2'!A:A,A15)</f>
        <v>1.0316522831807937</v>
      </c>
      <c r="H15" s="215"/>
      <c r="I15" s="23">
        <f t="shared" si="0"/>
        <v>0.16575687754094429</v>
      </c>
      <c r="J15" s="20"/>
      <c r="K15" s="61"/>
      <c r="L15" s="54"/>
      <c r="M15" s="54"/>
      <c r="N15" s="61"/>
      <c r="O15" s="54"/>
    </row>
    <row r="16" spans="1:15">
      <c r="A16" s="28">
        <f>+'Exhibit 7.1'!A16</f>
        <v>1994</v>
      </c>
      <c r="B16" s="20"/>
      <c r="C16" s="23">
        <f>+SUMIFS('Exhibit 3.4'!H:H,'Exhibit 3.4'!A:A,A16)</f>
        <v>0.28161066121734196</v>
      </c>
      <c r="D16" s="23"/>
      <c r="E16" s="23">
        <f>+SUMIFS('Exhibit 4.4'!I:I,'Exhibit 4.4'!A:A,A16)</f>
        <v>0.73310859036178933</v>
      </c>
      <c r="F16" s="23"/>
      <c r="G16" s="23">
        <f>+SUMIFS('Exhibit 5.2'!S:S,'Exhibit 5.2'!A:A,A16)</f>
        <v>1.165432592696231</v>
      </c>
      <c r="H16" s="215"/>
      <c r="I16" s="23">
        <f t="shared" si="0"/>
        <v>0.17714554764447737</v>
      </c>
      <c r="J16" s="20"/>
      <c r="K16" s="61"/>
      <c r="L16" s="54"/>
      <c r="M16" s="54"/>
      <c r="N16" s="61"/>
      <c r="O16" s="54"/>
    </row>
    <row r="17" spans="1:15">
      <c r="A17" s="28">
        <f>+'Exhibit 7.1'!A17</f>
        <v>1995</v>
      </c>
      <c r="B17" s="20"/>
      <c r="C17" s="23">
        <f>+SUMIFS('Exhibit 3.4'!H:H,'Exhibit 3.4'!A:A,A17)</f>
        <v>0.41683407411188972</v>
      </c>
      <c r="D17" s="23"/>
      <c r="E17" s="23">
        <f>+SUMIFS('Exhibit 4.4'!I:I,'Exhibit 4.4'!A:A,A17)</f>
        <v>0.72295469171662941</v>
      </c>
      <c r="F17" s="23"/>
      <c r="G17" s="23">
        <f>+SUMIFS('Exhibit 5.2'!S:S,'Exhibit 5.2'!A:A,A17)</f>
        <v>1.5305728652948822</v>
      </c>
      <c r="H17" s="215"/>
      <c r="I17" s="23">
        <f t="shared" si="0"/>
        <v>0.19688846991841122</v>
      </c>
      <c r="J17" s="20"/>
      <c r="K17" s="61"/>
      <c r="L17" s="54"/>
      <c r="M17" s="54"/>
      <c r="N17" s="61"/>
      <c r="O17" s="54"/>
    </row>
    <row r="18" spans="1:15">
      <c r="A18" s="28">
        <f>+'Exhibit 7.1'!A18</f>
        <v>1996</v>
      </c>
      <c r="B18" s="20"/>
      <c r="C18" s="23">
        <f>+SUMIFS('Exhibit 3.4'!H:H,'Exhibit 3.4'!A:A,A18)</f>
        <v>0.44790709225729047</v>
      </c>
      <c r="D18" s="23"/>
      <c r="E18" s="23">
        <f>+SUMIFS('Exhibit 4.4'!I:I,'Exhibit 4.4'!A:A,A18)</f>
        <v>0.71294494469313774</v>
      </c>
      <c r="F18" s="23"/>
      <c r="G18" s="23">
        <f>+SUMIFS('Exhibit 5.2'!S:S,'Exhibit 5.2'!A:A,A18)</f>
        <v>1.570762738133141</v>
      </c>
      <c r="H18" s="215"/>
      <c r="I18" s="23">
        <f t="shared" si="0"/>
        <v>0.20329811076150622</v>
      </c>
      <c r="J18" s="20"/>
      <c r="K18" s="61"/>
      <c r="L18" s="54"/>
      <c r="M18" s="54"/>
      <c r="N18" s="61"/>
      <c r="O18" s="54"/>
    </row>
    <row r="19" spans="1:15">
      <c r="A19" s="28">
        <f>+'Exhibit 7.1'!A19</f>
        <v>1997</v>
      </c>
      <c r="B19" s="20"/>
      <c r="C19" s="23">
        <f>+SUMIFS('Exhibit 3.4'!H:H,'Exhibit 3.4'!A:A,A19)</f>
        <v>0.50301676486315683</v>
      </c>
      <c r="D19" s="23"/>
      <c r="E19" s="23">
        <f>+SUMIFS('Exhibit 4.4'!I:I,'Exhibit 4.4'!A:A,A19)</f>
        <v>0.70657586980273601</v>
      </c>
      <c r="F19" s="23"/>
      <c r="G19" s="23">
        <f>+SUMIFS('Exhibit 5.2'!S:S,'Exhibit 5.2'!A:A,A19)</f>
        <v>1.5230302286530704</v>
      </c>
      <c r="H19" s="215"/>
      <c r="I19" s="23">
        <f t="shared" si="0"/>
        <v>0.23336339717489879</v>
      </c>
      <c r="J19" s="20"/>
      <c r="K19" s="61"/>
      <c r="L19" s="54"/>
      <c r="M19" s="54"/>
      <c r="N19" s="61"/>
      <c r="O19" s="54"/>
    </row>
    <row r="20" spans="1:15">
      <c r="A20" s="28">
        <f>+'Exhibit 7.1'!A20</f>
        <v>1998</v>
      </c>
      <c r="B20" s="20"/>
      <c r="C20" s="23">
        <f>+SUMIFS('Exhibit 3.4'!H:H,'Exhibit 3.4'!A:A,A20)</f>
        <v>0.60721719276690178</v>
      </c>
      <c r="D20" s="23"/>
      <c r="E20" s="23">
        <f>+SUMIFS('Exhibit 4.4'!I:I,'Exhibit 4.4'!A:A,A20)</f>
        <v>0.62252941812104945</v>
      </c>
      <c r="F20" s="23"/>
      <c r="G20" s="23">
        <f>+SUMIFS('Exhibit 5.2'!S:S,'Exhibit 5.2'!A:A,A20)</f>
        <v>1.543226129013257</v>
      </c>
      <c r="H20" s="215"/>
      <c r="I20" s="23">
        <f t="shared" si="0"/>
        <v>0.24494826686739518</v>
      </c>
      <c r="J20" s="20"/>
      <c r="K20" s="61"/>
      <c r="L20" s="54"/>
      <c r="M20" s="54"/>
      <c r="N20" s="61"/>
      <c r="O20" s="54"/>
    </row>
    <row r="21" spans="1:15">
      <c r="A21" s="28">
        <f>+'Exhibit 7.1'!A21</f>
        <v>1999</v>
      </c>
      <c r="B21" s="20"/>
      <c r="C21" s="23">
        <f>+SUMIFS('Exhibit 3.4'!H:H,'Exhibit 3.4'!A:A,A21)</f>
        <v>0.66488919313164319</v>
      </c>
      <c r="D21" s="23"/>
      <c r="E21" s="23">
        <f>+SUMIFS('Exhibit 4.4'!I:I,'Exhibit 4.4'!A:A,A21)</f>
        <v>0.53938345806095356</v>
      </c>
      <c r="F21" s="23"/>
      <c r="G21" s="23">
        <f>+SUMIFS('Exhibit 5.2'!S:S,'Exhibit 5.2'!A:A,A21)</f>
        <v>1.4664228492719085</v>
      </c>
      <c r="H21" s="215"/>
      <c r="I21" s="23">
        <f t="shared" si="0"/>
        <v>0.24456126852958268</v>
      </c>
      <c r="J21" s="20"/>
      <c r="K21" s="61"/>
      <c r="L21" s="54"/>
      <c r="M21" s="54"/>
      <c r="N21" s="61"/>
      <c r="O21" s="54"/>
    </row>
    <row r="22" spans="1:15">
      <c r="A22" s="28">
        <f>+'Exhibit 7.1'!A22</f>
        <v>2000</v>
      </c>
      <c r="B22" s="20"/>
      <c r="C22" s="23">
        <f>+SUMIFS('Exhibit 3.4'!H:H,'Exhibit 3.4'!A:A,A22)</f>
        <v>0.60238262686959054</v>
      </c>
      <c r="D22" s="23"/>
      <c r="E22" s="23">
        <f>+SUMIFS('Exhibit 4.4'!I:I,'Exhibit 4.4'!A:A,A22)</f>
        <v>0.49567029476557728</v>
      </c>
      <c r="F22" s="23"/>
      <c r="G22" s="23">
        <f>+SUMIFS('Exhibit 5.2'!S:S,'Exhibit 5.2'!A:A,A22)</f>
        <v>1.160442066798514</v>
      </c>
      <c r="H22" s="215"/>
      <c r="I22" s="23">
        <f t="shared" si="0"/>
        <v>0.25730123266373739</v>
      </c>
      <c r="J22" s="20"/>
      <c r="K22" s="61"/>
      <c r="L22" s="54"/>
      <c r="M22" s="54"/>
      <c r="N22" s="61"/>
      <c r="O22" s="54"/>
    </row>
    <row r="23" spans="1:15">
      <c r="A23" s="28">
        <f>+'Exhibit 7.1'!A23</f>
        <v>2001</v>
      </c>
      <c r="B23" s="20"/>
      <c r="C23" s="23">
        <f>+SUMIFS('Exhibit 3.4'!H:H,'Exhibit 3.4'!A:A,A23)</f>
        <v>0.53620381871844414</v>
      </c>
      <c r="D23" s="23"/>
      <c r="E23" s="23">
        <f>+SUMIFS('Exhibit 4.4'!I:I,'Exhibit 4.4'!A:A,A23)</f>
        <v>0.45187707948442385</v>
      </c>
      <c r="F23" s="23"/>
      <c r="G23" s="23">
        <f>+SUMIFS('Exhibit 5.2'!S:S,'Exhibit 5.2'!A:A,A23)</f>
        <v>0.9907885099356385</v>
      </c>
      <c r="H23" s="215"/>
      <c r="I23" s="23">
        <f t="shared" si="0"/>
        <v>0.24455089373879157</v>
      </c>
      <c r="J23" s="20"/>
      <c r="K23" s="61"/>
      <c r="L23" s="54"/>
      <c r="M23" s="54"/>
      <c r="N23" s="61"/>
      <c r="O23" s="54"/>
    </row>
    <row r="24" spans="1:15" s="54" customFormat="1">
      <c r="A24" s="28">
        <f>+'Exhibit 7.1'!A24</f>
        <v>2002</v>
      </c>
      <c r="B24" s="20"/>
      <c r="C24" s="23">
        <f>+SUMIFS('Exhibit 3.4'!H:H,'Exhibit 3.4'!A:A,A24)</f>
        <v>0.41677126692100869</v>
      </c>
      <c r="D24" s="23"/>
      <c r="E24" s="23">
        <f>+SUMIFS('Exhibit 4.4'!I:I,'Exhibit 4.4'!A:A,A24)</f>
        <v>0.46929739893280975</v>
      </c>
      <c r="F24" s="23"/>
      <c r="G24" s="23">
        <f>+SUMIFS('Exhibit 5.2'!S:S,'Exhibit 5.2'!A:A,A24)</f>
        <v>0.76264640962590891</v>
      </c>
      <c r="H24" s="215"/>
      <c r="I24" s="23">
        <f t="shared" si="0"/>
        <v>0.25646180070775032</v>
      </c>
      <c r="J24" s="20"/>
      <c r="K24" s="61"/>
      <c r="N24" s="61"/>
    </row>
    <row r="25" spans="1:15" s="54" customFormat="1">
      <c r="A25" s="28">
        <f>+'Exhibit 7.1'!A25</f>
        <v>2003</v>
      </c>
      <c r="B25" s="20"/>
      <c r="C25" s="23">
        <f>+SUMIFS('Exhibit 3.4'!H:H,'Exhibit 3.4'!A:A,A25)</f>
        <v>0.2685833596690223</v>
      </c>
      <c r="D25" s="23"/>
      <c r="E25" s="23">
        <f>+SUMIFS('Exhibit 4.4'!I:I,'Exhibit 4.4'!A:A,A25)</f>
        <v>0.49235951879307749</v>
      </c>
      <c r="F25" s="23"/>
      <c r="G25" s="23">
        <f>+SUMIFS('Exhibit 5.2'!S:S,'Exhibit 5.2'!A:A,A25)</f>
        <v>0.54212294800006477</v>
      </c>
      <c r="H25" s="215"/>
      <c r="I25" s="23">
        <f t="shared" si="0"/>
        <v>0.24392912015680268</v>
      </c>
      <c r="J25" s="20"/>
      <c r="K25" s="61"/>
      <c r="N25" s="61"/>
    </row>
    <row r="26" spans="1:15" s="54" customFormat="1">
      <c r="A26" s="28">
        <f>+'Exhibit 7.1'!A26</f>
        <v>2004</v>
      </c>
      <c r="B26" s="20"/>
      <c r="C26" s="23">
        <f>+SUMIFS('Exhibit 3.4'!H:H,'Exhibit 3.4'!A:A,A26)</f>
        <v>0.18250852450212357</v>
      </c>
      <c r="D26" s="23"/>
      <c r="E26" s="23">
        <f>+SUMIFS('Exhibit 4.4'!I:I,'Exhibit 4.4'!A:A,A26)</f>
        <v>0.74430766257456915</v>
      </c>
      <c r="F26" s="23"/>
      <c r="G26" s="23">
        <f>+SUMIFS('Exhibit 5.2'!S:S,'Exhibit 5.2'!A:A,A26)</f>
        <v>0.49443021512194218</v>
      </c>
      <c r="H26" s="215"/>
      <c r="I26" s="23">
        <f t="shared" si="0"/>
        <v>0.27474553358072179</v>
      </c>
      <c r="J26" s="20"/>
      <c r="K26" s="61"/>
      <c r="N26" s="61"/>
    </row>
    <row r="27" spans="1:15" s="54" customFormat="1">
      <c r="A27" s="28">
        <f>+'Exhibit 7.1'!A27</f>
        <v>2005</v>
      </c>
      <c r="B27" s="20"/>
      <c r="C27" s="23">
        <f>+SUMIFS('Exhibit 3.4'!H:H,'Exhibit 3.4'!A:A,A27)</f>
        <v>0.17933023005262558</v>
      </c>
      <c r="D27" s="23"/>
      <c r="E27" s="23">
        <f>+SUMIFS('Exhibit 4.4'!I:I,'Exhibit 4.4'!A:A,A27)</f>
        <v>0.86446882993562035</v>
      </c>
      <c r="F27" s="23"/>
      <c r="G27" s="23">
        <f>+SUMIFS('Exhibit 5.2'!S:S,'Exhibit 5.2'!A:A,A27)</f>
        <v>0.54861925364560948</v>
      </c>
      <c r="H27" s="215"/>
      <c r="I27" s="23">
        <f t="shared" si="0"/>
        <v>0.28257373964826304</v>
      </c>
      <c r="J27" s="20"/>
      <c r="K27" s="61"/>
      <c r="N27" s="61"/>
    </row>
    <row r="28" spans="1:15" s="54" customFormat="1">
      <c r="A28" s="28">
        <f>+'Exhibit 7.1'!A28</f>
        <v>2006</v>
      </c>
      <c r="B28" s="20"/>
      <c r="C28" s="23">
        <f>+SUMIFS('Exhibit 3.4'!H:H,'Exhibit 3.4'!A:A,A28)</f>
        <v>0.2324688901291454</v>
      </c>
      <c r="D28" s="23"/>
      <c r="E28" s="23">
        <f>+SUMIFS('Exhibit 4.4'!I:I,'Exhibit 4.4'!A:A,A28)</f>
        <v>0.90825122176814455</v>
      </c>
      <c r="F28" s="23"/>
      <c r="G28" s="23">
        <f>+SUMIFS('Exhibit 5.2'!S:S,'Exhibit 5.2'!A:A,A28)</f>
        <v>0.7055045677672207</v>
      </c>
      <c r="H28" s="215"/>
      <c r="I28" s="23">
        <f>C28*E28/G28</f>
        <v>0.29927538832398598</v>
      </c>
      <c r="J28" s="20"/>
      <c r="K28" s="61"/>
      <c r="N28" s="61"/>
    </row>
    <row r="29" spans="1:15" s="54" customFormat="1">
      <c r="A29" s="28">
        <f>+'Exhibit 7.1'!A29</f>
        <v>2007</v>
      </c>
      <c r="B29" s="20"/>
      <c r="C29" s="23">
        <f>+SUMIFS('Exhibit 3.4'!H:H,'Exhibit 3.4'!A:A,A29)</f>
        <v>0.32682570015741408</v>
      </c>
      <c r="D29" s="23"/>
      <c r="E29" s="23">
        <f>+SUMIFS('Exhibit 4.4'!I:I,'Exhibit 4.4'!A:A,A29)</f>
        <v>0.89130046944032837</v>
      </c>
      <c r="F29" s="23"/>
      <c r="G29" s="23">
        <f>+SUMIFS('Exhibit 5.2'!S:S,'Exhibit 5.2'!A:A,A29)</f>
        <v>0.9016658388114478</v>
      </c>
      <c r="H29" s="215"/>
      <c r="I29" s="23">
        <f t="shared" si="0"/>
        <v>0.32306857755579499</v>
      </c>
      <c r="J29" s="20"/>
      <c r="K29" s="61"/>
      <c r="N29" s="61"/>
    </row>
    <row r="30" spans="1:15" s="54" customFormat="1">
      <c r="A30" s="28">
        <f>+'Exhibit 7.1'!A30</f>
        <v>2008</v>
      </c>
      <c r="B30" s="20"/>
      <c r="C30" s="23">
        <f>+SUMIFS('Exhibit 3.4'!H:H,'Exhibit 3.4'!A:A,A30)</f>
        <v>0.40807176545730867</v>
      </c>
      <c r="D30" s="23"/>
      <c r="E30" s="23">
        <f>+SUMIFS('Exhibit 4.4'!I:I,'Exhibit 4.4'!A:A,A30)</f>
        <v>0.88509066272953019</v>
      </c>
      <c r="F30" s="23"/>
      <c r="G30" s="23">
        <f>+SUMIFS('Exhibit 5.2'!S:S,'Exhibit 5.2'!A:A,A30)</f>
        <v>1.0893215696266196</v>
      </c>
      <c r="H30" s="215"/>
      <c r="I30" s="23">
        <f t="shared" si="0"/>
        <v>0.33156463564163008</v>
      </c>
      <c r="J30" s="20"/>
      <c r="K30" s="61"/>
      <c r="N30" s="61"/>
    </row>
    <row r="31" spans="1:15" s="54" customFormat="1">
      <c r="A31" s="28">
        <f>+'Exhibit 7.1'!A31</f>
        <v>2009</v>
      </c>
      <c r="B31" s="20"/>
      <c r="C31" s="23">
        <f>+SUMIFS('Exhibit 3.4'!H:H,'Exhibit 3.4'!A:A,A31)</f>
        <v>0.48271606911761467</v>
      </c>
      <c r="D31" s="23"/>
      <c r="E31" s="23">
        <f>+SUMIFS('Exhibit 4.4'!I:I,'Exhibit 4.4'!A:A,A31)</f>
        <v>0.87283604466246911</v>
      </c>
      <c r="F31" s="23"/>
      <c r="G31" s="23">
        <f>+SUMIFS('Exhibit 5.2'!S:S,'Exhibit 5.2'!A:A,A31)</f>
        <v>1.1763778186986993</v>
      </c>
      <c r="H31" s="270"/>
      <c r="I31" s="23">
        <f t="shared" si="0"/>
        <v>0.35816042921457686</v>
      </c>
      <c r="J31" s="20"/>
      <c r="K31" s="61"/>
      <c r="N31" s="61"/>
    </row>
    <row r="32" spans="1:15" s="54" customFormat="1">
      <c r="A32" s="269">
        <f>+'Exhibit 7.1'!A32</f>
        <v>2010</v>
      </c>
      <c r="B32" s="26"/>
      <c r="C32" s="26">
        <f>+SUMIFS('Exhibit 3.4'!H:H,'Exhibit 3.4'!A:A,A32)</f>
        <v>0.47457814244072832</v>
      </c>
      <c r="D32" s="26"/>
      <c r="E32" s="26">
        <f>+SUMIFS('Exhibit 4.4'!I:I,'Exhibit 4.4'!A:A,A32)</f>
        <v>0.87022536855679877</v>
      </c>
      <c r="F32" s="26"/>
      <c r="G32" s="26">
        <f>+SUMIFS('Exhibit 5.2'!S:S,'Exhibit 5.2'!A:A,A32)</f>
        <v>1.0695027507116064</v>
      </c>
      <c r="H32" s="269"/>
      <c r="I32" s="26">
        <f t="shared" si="0"/>
        <v>0.3861513573851923</v>
      </c>
      <c r="J32" s="23"/>
      <c r="K32" s="271"/>
      <c r="N32" s="61"/>
    </row>
    <row r="33" spans="1:15" s="54" customFormat="1">
      <c r="A33" s="270">
        <f>+'Exhibit 7.1'!A33</f>
        <v>2011</v>
      </c>
      <c r="B33" s="23"/>
      <c r="C33" s="23">
        <f>+SUMIFS('Exhibit 3.4'!H:H,'Exhibit 3.4'!A:A,A33)</f>
        <v>0.40862610713934755</v>
      </c>
      <c r="D33" s="23"/>
      <c r="E33" s="23">
        <f>+SUMIFS('Exhibit 4.4'!I:I,'Exhibit 4.4'!A:A,A33)</f>
        <v>0.88532908270779376</v>
      </c>
      <c r="F33" s="23"/>
      <c r="G33" s="23">
        <f>+SUMIFS('Exhibit 5.2'!S:S,'Exhibit 5.2'!A:A,A33)</f>
        <v>0.97671251363831668</v>
      </c>
      <c r="H33" s="270"/>
      <c r="I33" s="23">
        <f t="shared" si="0"/>
        <v>0.37039412473228595</v>
      </c>
      <c r="J33" s="23"/>
      <c r="K33" s="271"/>
      <c r="N33" s="61"/>
    </row>
    <row r="34" spans="1:15" s="54" customFormat="1">
      <c r="A34" s="270">
        <f>+'Exhibit 7.1'!A34</f>
        <v>2012</v>
      </c>
      <c r="B34" s="23"/>
      <c r="C34" s="23">
        <f>+SUMIFS('Exhibit 3.4'!H:H,'Exhibit 3.4'!A:A,A34)</f>
        <v>0.35484967984668531</v>
      </c>
      <c r="D34" s="23"/>
      <c r="E34" s="23">
        <f>+SUMIFS('Exhibit 4.4'!I:I,'Exhibit 4.4'!A:A,A34)</f>
        <v>0.92418457478550076</v>
      </c>
      <c r="F34" s="23"/>
      <c r="G34" s="23">
        <f>+SUMIFS('Exhibit 5.2'!S:S,'Exhibit 5.2'!A:A,A34)</f>
        <v>0.86916724036407511</v>
      </c>
      <c r="H34" s="270"/>
      <c r="I34" s="23">
        <f t="shared" si="0"/>
        <v>0.37731127595709923</v>
      </c>
      <c r="J34" s="23"/>
      <c r="K34" s="271"/>
      <c r="N34" s="61"/>
    </row>
    <row r="35" spans="1:15" s="54" customFormat="1">
      <c r="A35" s="215">
        <f>+'Exhibit 7.1'!A35</f>
        <v>2013</v>
      </c>
      <c r="B35" s="23"/>
      <c r="C35" s="23">
        <f>+SUMIFS('Exhibit 3.4'!H:H,'Exhibit 3.4'!A:A,A35)</f>
        <v>0.29935677818884948</v>
      </c>
      <c r="D35" s="23"/>
      <c r="E35" s="23">
        <f>+SUMIFS('Exhibit 4.4'!I:I,'Exhibit 4.4'!A:A,A35)</f>
        <v>0.95952094791899156</v>
      </c>
      <c r="F35" s="23"/>
      <c r="G35" s="23">
        <f>+SUMIFS('Exhibit 5.2'!S:S,'Exhibit 5.2'!A:A,A35)</f>
        <v>0.75966249728112722</v>
      </c>
      <c r="H35" s="215"/>
      <c r="I35" s="23">
        <f t="shared" si="0"/>
        <v>0.37811409751275638</v>
      </c>
      <c r="J35" s="23"/>
      <c r="K35" s="271"/>
      <c r="N35" s="61"/>
    </row>
    <row r="36" spans="1:15" s="54" customFormat="1" ht="12.75" customHeight="1">
      <c r="A36" s="313">
        <f>+'Exhibit 7.1'!A36</f>
        <v>2014</v>
      </c>
      <c r="B36" s="23"/>
      <c r="C36" s="23">
        <f>+SUMIFS('Exhibit 3.4'!H:H,'Exhibit 3.4'!A:A,A36)</f>
        <v>0.2726849353751441</v>
      </c>
      <c r="D36" s="23"/>
      <c r="E36" s="23">
        <f>+SUMIFS('Exhibit 4.4'!I:I,'Exhibit 4.4'!A:A,A36)</f>
        <v>1.0046533310938537</v>
      </c>
      <c r="F36" s="23"/>
      <c r="G36" s="23">
        <f>+SUMIFS('Exhibit 5.2'!S:S,'Exhibit 5.2'!A:A,A36)</f>
        <v>0.69975662958949059</v>
      </c>
      <c r="H36" s="313"/>
      <c r="I36" s="23">
        <f t="shared" si="0"/>
        <v>0.39149872552756615</v>
      </c>
      <c r="J36" s="23"/>
      <c r="K36" s="271"/>
      <c r="N36" s="61"/>
    </row>
    <row r="37" spans="1:15" s="54" customFormat="1" ht="12.75" customHeight="1">
      <c r="A37" s="28">
        <f>+'Exhibit 7.1'!A37</f>
        <v>2015</v>
      </c>
      <c r="B37" s="23"/>
      <c r="C37" s="23">
        <f ca="1">+SUMIFS('Exhibit 3.4'!H:H,'Exhibit 3.4'!A:A,A37)</f>
        <v>0.2554403939050266</v>
      </c>
      <c r="D37" s="23"/>
      <c r="E37" s="363">
        <v>1.0442662041948152</v>
      </c>
      <c r="F37" s="23"/>
      <c r="G37" s="23">
        <f>+SUMIFS('Exhibit 5.2'!S:S,'Exhibit 5.2'!A:A,A37)</f>
        <v>0.66851752471942893</v>
      </c>
      <c r="H37" s="313"/>
      <c r="I37" s="23">
        <f t="shared" ca="1" si="0"/>
        <v>0.39901387873591243</v>
      </c>
      <c r="J37" s="20"/>
      <c r="K37" s="61"/>
    </row>
    <row r="38" spans="1:15" ht="12.75" customHeight="1">
      <c r="A38" s="28">
        <f>+'Exhibit 7.1'!A38</f>
        <v>2016</v>
      </c>
      <c r="B38" s="23"/>
      <c r="C38" s="23">
        <f ca="1">+SUMIFS('Exhibit 3.4'!H:H,'Exhibit 3.4'!A:A,A38)</f>
        <v>0.24266316119456288</v>
      </c>
      <c r="D38" s="23"/>
      <c r="E38" s="363">
        <v>1.0468058645388076</v>
      </c>
      <c r="F38" s="23"/>
      <c r="G38" s="23">
        <f>+SUMIFS('Exhibit 5.2'!S:S,'Exhibit 5.2'!A:A,A38)</f>
        <v>0.69004838248588241</v>
      </c>
      <c r="H38" s="313"/>
      <c r="I38" s="23">
        <f t="shared" ca="1" si="0"/>
        <v>0.36812088353991818</v>
      </c>
      <c r="J38" s="20"/>
      <c r="K38" s="54"/>
      <c r="L38" s="54"/>
      <c r="M38" s="54"/>
      <c r="N38" s="54"/>
      <c r="O38" s="54"/>
    </row>
    <row r="39" spans="1:15" ht="12.75" customHeight="1">
      <c r="A39" s="28">
        <f>+'Exhibit 7.1'!A39</f>
        <v>2017</v>
      </c>
      <c r="B39" s="23"/>
      <c r="C39" s="23">
        <f ca="1">+SUMIFS('Exhibit 3.4'!H:H,'Exhibit 3.4'!A:A,A39)</f>
        <v>0.25106126040053467</v>
      </c>
      <c r="D39" s="23"/>
      <c r="E39" s="363">
        <v>1.0491670934680093</v>
      </c>
      <c r="F39" s="23"/>
      <c r="G39" s="23">
        <f>+SUMIFS('Exhibit 5.2'!S:S,'Exhibit 5.2'!A:A,A39)</f>
        <v>0.72299592080262609</v>
      </c>
      <c r="H39" s="23"/>
      <c r="I39" s="23">
        <f t="shared" ca="1" si="0"/>
        <v>0.36432461826952983</v>
      </c>
      <c r="J39" s="20"/>
      <c r="K39" s="54"/>
      <c r="L39" s="54"/>
      <c r="M39" s="54"/>
      <c r="N39" s="54"/>
      <c r="O39" s="54"/>
    </row>
    <row r="40" spans="1:15" ht="12.75" customHeight="1">
      <c r="A40" s="28">
        <f>+'Exhibit 7.1'!A40</f>
        <v>2018</v>
      </c>
      <c r="B40" s="23"/>
      <c r="C40" s="23">
        <f ca="1">+SUMIFS('Exhibit 3.4'!H:H,'Exhibit 3.4'!A:A,A40)</f>
        <v>0.27199961332743861</v>
      </c>
      <c r="D40" s="23"/>
      <c r="E40" s="363">
        <v>1.0549745791880887</v>
      </c>
      <c r="F40" s="23"/>
      <c r="G40" s="23">
        <f>+SUMIFS('Exhibit 5.2'!S:S,'Exhibit 5.2'!A:A,A40)</f>
        <v>0.76106237508571994</v>
      </c>
      <c r="H40" s="23"/>
      <c r="I40" s="23">
        <f t="shared" ca="1" si="0"/>
        <v>0.37704225961389476</v>
      </c>
      <c r="J40" s="20"/>
      <c r="K40" s="54"/>
      <c r="L40" s="54"/>
      <c r="M40" s="54"/>
      <c r="N40" s="54"/>
      <c r="O40" s="54"/>
    </row>
    <row r="41" spans="1:15" ht="12.75" customHeight="1">
      <c r="A41" s="28">
        <f>+'Exhibit 7.1'!A41</f>
        <v>2019</v>
      </c>
      <c r="B41" s="23"/>
      <c r="C41" s="23">
        <f ca="1">+SUMIFS('Exhibit 3.4'!H:H,'Exhibit 3.4'!A:A,A41)</f>
        <v>0.30695271051480544</v>
      </c>
      <c r="D41" s="23"/>
      <c r="E41" s="363">
        <v>1.0479728802593218</v>
      </c>
      <c r="F41" s="23"/>
      <c r="G41" s="23">
        <f>+SUMIFS('Exhibit 5.2'!S:S,'Exhibit 5.2'!A:A,A41)</f>
        <v>0.84486914615370357</v>
      </c>
      <c r="H41" s="23"/>
      <c r="I41" s="23">
        <f t="shared" ca="1" si="0"/>
        <v>0.38074312170832297</v>
      </c>
      <c r="J41" s="20"/>
      <c r="K41" s="54"/>
      <c r="L41" s="54"/>
      <c r="M41" s="54"/>
      <c r="N41" s="54"/>
      <c r="O41" s="54"/>
    </row>
    <row r="42" spans="1:15" ht="12.75" customHeight="1">
      <c r="A42" s="28">
        <f>+'Exhibit 7.1'!A42</f>
        <v>2020</v>
      </c>
      <c r="B42" s="23"/>
      <c r="C42" s="23">
        <f ca="1">+SUMIFS('Exhibit 3.4'!H:H,'Exhibit 3.4'!A:A,A42)</f>
        <v>0.32040459900956358</v>
      </c>
      <c r="D42" s="23"/>
      <c r="E42" s="363">
        <v>1.0376676248863339</v>
      </c>
      <c r="F42" s="23"/>
      <c r="G42" s="23">
        <f>+SUMIFS('Exhibit 5.2'!S:S,'Exhibit 5.2'!A:A,A42)</f>
        <v>0.8944113884405358</v>
      </c>
      <c r="H42" s="23"/>
      <c r="I42" s="23">
        <f t="shared" ca="1" si="0"/>
        <v>0.37172321769806743</v>
      </c>
      <c r="J42" s="20"/>
      <c r="K42" s="54"/>
      <c r="L42" s="54"/>
      <c r="M42" s="54"/>
      <c r="N42" s="54"/>
      <c r="O42" s="54"/>
    </row>
    <row r="43" spans="1:15" ht="12.75" customHeight="1">
      <c r="A43" s="28">
        <f>+'Exhibit 7.1'!A43</f>
        <v>2021</v>
      </c>
      <c r="B43" s="23"/>
      <c r="C43" s="23">
        <f ca="1">+SUMIFS('Exhibit 3.4'!H:H,'Exhibit 3.4'!A:A,A43)</f>
        <v>0.36541524718054941</v>
      </c>
      <c r="D43" s="23"/>
      <c r="E43" s="363">
        <v>1.0367712071911397</v>
      </c>
      <c r="F43" s="23"/>
      <c r="G43" s="23">
        <f>+SUMIFS('Exhibit 5.2'!S:S,'Exhibit 5.2'!A:A,A43)</f>
        <v>0.93050759135991468</v>
      </c>
      <c r="H43" s="23"/>
      <c r="I43" s="23">
        <f t="shared" ca="1" si="0"/>
        <v>0.40714553052892749</v>
      </c>
      <c r="J43" s="20"/>
      <c r="K43" s="54"/>
      <c r="L43" s="54"/>
      <c r="M43" s="54"/>
      <c r="N43" s="54"/>
      <c r="O43" s="54"/>
    </row>
    <row r="44" spans="1:15" ht="12.75" customHeight="1">
      <c r="A44" s="28">
        <f>+'Exhibit 7.1'!A44</f>
        <v>2022</v>
      </c>
      <c r="B44" s="23"/>
      <c r="C44" s="23">
        <f ca="1">+SUMIFS('Exhibit 3.4'!H:H,'Exhibit 3.4'!A:A,A44)</f>
        <v>0.35294733092252983</v>
      </c>
      <c r="D44" s="23"/>
      <c r="E44" s="363">
        <v>1.0130560920479998</v>
      </c>
      <c r="F44" s="23"/>
      <c r="G44" s="23">
        <f>+SUMIFS('Exhibit 5.2'!S:S,'Exhibit 5.2'!A:A,A44)</f>
        <v>0.91820751077840224</v>
      </c>
      <c r="H44" s="23"/>
      <c r="I44" s="23">
        <f t="shared" ca="1" si="0"/>
        <v>0.38940592356953802</v>
      </c>
      <c r="J44" s="20"/>
      <c r="K44" s="54"/>
      <c r="L44" s="54"/>
      <c r="M44" s="54"/>
      <c r="N44" s="54"/>
      <c r="O44" s="54"/>
    </row>
    <row r="45" spans="1:15" ht="12.75" customHeight="1">
      <c r="A45" s="28">
        <f>+'Exhibit 7.1'!A45</f>
        <v>2023</v>
      </c>
      <c r="B45" s="23"/>
      <c r="C45" s="23">
        <f ca="1">+SUMIFS('Exhibit 3.4'!H:H,'Exhibit 3.4'!A:A,A45)</f>
        <v>0.35916018025713892</v>
      </c>
      <c r="D45" s="23"/>
      <c r="E45" s="363">
        <v>1.0110340239999998</v>
      </c>
      <c r="F45" s="23"/>
      <c r="G45" s="23">
        <f>+SUMIFS('Exhibit 5.2'!S:S,'Exhibit 5.2'!A:A,A45)</f>
        <v>0.95221971048228515</v>
      </c>
      <c r="H45" s="23"/>
      <c r="I45" s="23">
        <f t="shared" ca="1" si="0"/>
        <v>0.38134388346364301</v>
      </c>
      <c r="J45" s="20"/>
      <c r="K45" s="326" t="s">
        <v>222</v>
      </c>
      <c r="L45" s="327"/>
      <c r="M45" s="328"/>
      <c r="N45" s="449" t="s">
        <v>216</v>
      </c>
      <c r="O45" s="450"/>
    </row>
    <row r="46" spans="1:15" ht="12.75" customHeight="1">
      <c r="A46" s="28"/>
      <c r="B46" s="28"/>
      <c r="C46" s="28"/>
      <c r="D46" s="28"/>
      <c r="E46" s="313"/>
      <c r="F46" s="313"/>
      <c r="G46" s="313"/>
      <c r="H46" s="123"/>
      <c r="I46" s="54"/>
      <c r="J46" s="28"/>
      <c r="K46" s="154" t="s">
        <v>271</v>
      </c>
      <c r="L46" s="155" t="s">
        <v>221</v>
      </c>
      <c r="M46" s="156" t="s">
        <v>223</v>
      </c>
      <c r="N46" s="403" t="s">
        <v>251</v>
      </c>
      <c r="O46" s="156" t="s">
        <v>252</v>
      </c>
    </row>
    <row r="47" spans="1:15" ht="12.75" customHeight="1">
      <c r="A47" s="28"/>
      <c r="B47" s="28"/>
      <c r="C47" s="28"/>
      <c r="D47" s="28"/>
      <c r="E47" s="313"/>
      <c r="F47" s="313"/>
      <c r="G47" s="313"/>
      <c r="H47" s="123"/>
      <c r="I47" s="313" t="s">
        <v>207</v>
      </c>
      <c r="J47" s="28"/>
      <c r="K47" s="62">
        <f>+'Exhibit 7.1'!K47</f>
        <v>2023</v>
      </c>
      <c r="L47" s="249">
        <f>'Exhibit 7.1'!L47</f>
        <v>2.9364087183214593E-4</v>
      </c>
      <c r="M47" s="157">
        <f>+'Exhibit 6.4'!$P$38</f>
        <v>0.02</v>
      </c>
      <c r="N47" s="404">
        <f t="shared" ref="N47:N48" si="1">1+L47</f>
        <v>1.0002936408718321</v>
      </c>
      <c r="O47" s="405">
        <f t="shared" ref="O47:O48" si="2">1+M47</f>
        <v>1.02</v>
      </c>
    </row>
    <row r="48" spans="1:15" ht="12.75" customHeight="1">
      <c r="A48" s="28">
        <f>+'Exhibit 7.1'!A48</f>
        <v>2024</v>
      </c>
      <c r="B48" s="28"/>
      <c r="C48" s="28"/>
      <c r="D48" s="28"/>
      <c r="E48" s="313"/>
      <c r="F48" s="313"/>
      <c r="G48" s="313"/>
      <c r="H48" s="123"/>
      <c r="I48" s="23">
        <f ca="1">AVERAGE(PRODUCT($I$44,$N$47:$O48),PRODUCT($I$45,$N$48:$O48))</f>
        <v>0.3873323591788021</v>
      </c>
      <c r="J48" s="28"/>
      <c r="K48" s="62">
        <f>+'Exhibit 7.1'!K48</f>
        <v>2024</v>
      </c>
      <c r="L48" s="207">
        <f>'Exhibit 7.1'!L48</f>
        <v>-2.4631389668835935E-2</v>
      </c>
      <c r="M48" s="157">
        <f>+'Exhibit 6.4'!$P$38</f>
        <v>0.02</v>
      </c>
      <c r="N48" s="404">
        <f t="shared" si="1"/>
        <v>0.97536861033116407</v>
      </c>
      <c r="O48" s="405">
        <f t="shared" si="2"/>
        <v>1.02</v>
      </c>
    </row>
    <row r="49" spans="1:15">
      <c r="A49" s="28">
        <f>+'Exhibit 7.1'!A49</f>
        <v>2025</v>
      </c>
      <c r="B49" s="28"/>
      <c r="C49" s="28"/>
      <c r="D49" s="28"/>
      <c r="E49" s="313"/>
      <c r="F49" s="313"/>
      <c r="G49" s="313"/>
      <c r="H49" s="123"/>
      <c r="I49" s="23">
        <f ca="1">AVERAGE(PRODUCT($I$44,$N$47:$O49),PRODUCT($I$45,$N$48:$O49))</f>
        <v>0.39244240481074799</v>
      </c>
      <c r="J49" s="28"/>
      <c r="K49" s="62">
        <f>+'Exhibit 7.1'!K49</f>
        <v>2025</v>
      </c>
      <c r="L49" s="207">
        <f>'Exhibit 7.1'!L49</f>
        <v>-6.6736058083830541E-3</v>
      </c>
      <c r="M49" s="157">
        <f>+'Exhibit 6.4'!$P$38</f>
        <v>0.02</v>
      </c>
      <c r="N49" s="404">
        <f t="shared" ref="N49" si="3">1+L49</f>
        <v>0.99332639419161695</v>
      </c>
      <c r="O49" s="405">
        <f t="shared" ref="O49" si="4">1+M49</f>
        <v>1.02</v>
      </c>
    </row>
    <row r="50" spans="1:15">
      <c r="A50" s="250" t="str">
        <f>+'Exhibit 7.1'!A50</f>
        <v>9/1/2025</v>
      </c>
      <c r="B50" s="28"/>
      <c r="C50" s="28"/>
      <c r="D50" s="28"/>
      <c r="E50" s="313"/>
      <c r="F50" s="313"/>
      <c r="G50" s="313"/>
      <c r="H50" s="123"/>
      <c r="I50" s="23">
        <f ca="1">I49*PRODUCT($N$50:$O$50)^(2/12)</f>
        <v>0.39175984490460075</v>
      </c>
      <c r="J50" s="28"/>
      <c r="K50" s="158">
        <f>+'Exhibit 7.1'!K50</f>
        <v>2026</v>
      </c>
      <c r="L50" s="329">
        <f>'Exhibit 7.1'!L50</f>
        <v>-2.9794409538057121E-2</v>
      </c>
      <c r="M50" s="159">
        <f>+'Exhibit 6.4'!$P$38</f>
        <v>0.02</v>
      </c>
      <c r="N50" s="406">
        <f>1+L50</f>
        <v>0.97020559046194288</v>
      </c>
      <c r="O50" s="407">
        <f>1+M50</f>
        <v>1.02</v>
      </c>
    </row>
    <row r="51" spans="1:15">
      <c r="A51" s="28"/>
      <c r="B51" s="28"/>
      <c r="C51" s="28"/>
      <c r="D51" s="28"/>
      <c r="E51" s="313"/>
      <c r="F51" s="313"/>
      <c r="G51" s="313"/>
      <c r="H51" s="123"/>
      <c r="I51" s="123"/>
      <c r="J51" s="28"/>
      <c r="K51" s="54"/>
      <c r="L51" s="54"/>
      <c r="M51" s="54"/>
      <c r="N51" s="54"/>
      <c r="O51" s="54"/>
    </row>
    <row r="52" spans="1:15" ht="27.75" customHeight="1">
      <c r="A52" s="31" t="s">
        <v>22</v>
      </c>
      <c r="B52" s="436" t="s">
        <v>402</v>
      </c>
      <c r="C52" s="436"/>
      <c r="D52" s="436"/>
      <c r="E52" s="436"/>
      <c r="F52" s="436"/>
      <c r="G52" s="436"/>
      <c r="H52" s="436"/>
      <c r="I52" s="436"/>
      <c r="J52" s="28"/>
    </row>
    <row r="53" spans="1:15" ht="27" customHeight="1">
      <c r="A53" s="31" t="s">
        <v>26</v>
      </c>
      <c r="B53" s="436" t="s">
        <v>403</v>
      </c>
      <c r="C53" s="436"/>
      <c r="D53" s="436"/>
      <c r="E53" s="436"/>
      <c r="F53" s="436"/>
      <c r="G53" s="436"/>
      <c r="H53" s="436"/>
      <c r="I53" s="436"/>
      <c r="J53" s="28"/>
    </row>
    <row r="54" spans="1:15">
      <c r="A54" s="31" t="s">
        <v>34</v>
      </c>
      <c r="B54" s="436" t="s">
        <v>209</v>
      </c>
      <c r="C54" s="436"/>
      <c r="D54" s="436"/>
      <c r="E54" s="436"/>
      <c r="F54" s="436"/>
      <c r="G54" s="436"/>
      <c r="H54" s="436"/>
      <c r="I54" s="436"/>
      <c r="J54" s="28"/>
      <c r="K54" s="54"/>
      <c r="L54" s="54"/>
      <c r="M54" s="54"/>
      <c r="N54" s="54"/>
      <c r="O54" s="54"/>
    </row>
    <row r="55" spans="1:15" ht="51.95" customHeight="1">
      <c r="A55" s="31" t="s">
        <v>49</v>
      </c>
      <c r="B55" s="436" t="s">
        <v>488</v>
      </c>
      <c r="C55" s="436"/>
      <c r="D55" s="436"/>
      <c r="E55" s="436"/>
      <c r="F55" s="436"/>
      <c r="G55" s="436"/>
      <c r="H55" s="436"/>
      <c r="I55" s="436"/>
      <c r="J55" s="28"/>
      <c r="K55" s="54"/>
      <c r="L55" s="54"/>
      <c r="M55" s="54"/>
      <c r="N55" s="54"/>
      <c r="O55" s="54"/>
    </row>
    <row r="56" spans="1:15" ht="27" customHeight="1">
      <c r="A56" s="31" t="s">
        <v>36</v>
      </c>
      <c r="B56" s="436" t="s">
        <v>261</v>
      </c>
      <c r="C56" s="436"/>
      <c r="D56" s="436"/>
      <c r="E56" s="436"/>
      <c r="F56" s="436"/>
      <c r="G56" s="436"/>
      <c r="H56" s="436"/>
      <c r="I56" s="436"/>
      <c r="J56" s="54"/>
    </row>
  </sheetData>
  <mergeCells count="6">
    <mergeCell ref="N45:O45"/>
    <mergeCell ref="B56:I56"/>
    <mergeCell ref="B53:I53"/>
    <mergeCell ref="B54:I54"/>
    <mergeCell ref="B55:I55"/>
    <mergeCell ref="B52:I52"/>
  </mergeCells>
  <printOptions horizontalCentered="1"/>
  <pageMargins left="0.5" right="0.5" top="0.75" bottom="0.75" header="0.33" footer="0.33"/>
  <pageSetup scale="89" orientation="portrait" blackAndWhite="1" horizontalDpi="1200" verticalDpi="1200" r:id="rId1"/>
  <headerFooter scaleWithDoc="0">
    <oddHeader>&amp;R&amp;"Arial,Regular"&amp;10Exhibit 7.3</oddHeader>
  </headerFooter>
  <ignoredErrors>
    <ignoredError sqref="C5:I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T158"/>
  <sheetViews>
    <sheetView zoomScaleNormal="100" zoomScaleSheetLayoutView="100" workbookViewId="0"/>
  </sheetViews>
  <sheetFormatPr defaultColWidth="9.140625" defaultRowHeight="12.75"/>
  <cols>
    <col min="1" max="12" width="9.140625" style="92"/>
    <col min="13" max="13" width="31.85546875" style="92" bestFit="1" customWidth="1"/>
    <col min="14" max="14" width="7" style="92" customWidth="1"/>
    <col min="15" max="15" width="12.85546875" style="93" bestFit="1" customWidth="1"/>
    <col min="16" max="16" width="14.85546875" style="93" bestFit="1" customWidth="1"/>
    <col min="17" max="17" width="14.85546875" style="93" customWidth="1"/>
    <col min="18" max="16384" width="9.140625" style="92"/>
  </cols>
  <sheetData>
    <row r="1" spans="1:20">
      <c r="A1" s="241" t="s">
        <v>345</v>
      </c>
      <c r="B1" s="241"/>
      <c r="C1" s="241"/>
      <c r="D1" s="241"/>
      <c r="E1" s="241"/>
      <c r="F1" s="241"/>
      <c r="G1" s="241"/>
      <c r="H1" s="241"/>
      <c r="I1" s="241"/>
      <c r="J1" s="241"/>
      <c r="K1" s="241"/>
      <c r="L1" s="242"/>
      <c r="M1" s="242"/>
      <c r="N1" s="243" t="s">
        <v>233</v>
      </c>
      <c r="O1" s="244" t="s">
        <v>19</v>
      </c>
      <c r="P1" s="244" t="s">
        <v>242</v>
      </c>
      <c r="Q1" s="244" t="s">
        <v>316</v>
      </c>
    </row>
    <row r="2" spans="1:20" ht="15">
      <c r="A2" s="241" t="s">
        <v>492</v>
      </c>
      <c r="B2" s="245"/>
      <c r="C2" s="245"/>
      <c r="D2" s="245"/>
      <c r="E2" s="245"/>
      <c r="F2" s="245"/>
      <c r="G2" s="245"/>
      <c r="H2" s="245"/>
      <c r="I2" s="245"/>
      <c r="J2" s="245"/>
      <c r="K2" s="245"/>
      <c r="L2" s="251"/>
      <c r="M2" s="251"/>
      <c r="N2" s="242">
        <f t="shared" ref="N2:N58" si="0">INT(O2)-O2+1</f>
        <v>1</v>
      </c>
      <c r="O2" s="246">
        <v>1987</v>
      </c>
      <c r="P2" s="247">
        <f>VLOOKUP(INT(O2),'Exhibit 7.3'!$A$1:$I$129,9)*N2+(1-N2)*VLOOKUP(INT(O2)+1,'Exhibit 7.3'!$A$1:$I$129,9)</f>
        <v>0.14846919120616017</v>
      </c>
      <c r="Q2" s="246"/>
    </row>
    <row r="3" spans="1:20">
      <c r="A3" s="242"/>
      <c r="B3" s="242"/>
      <c r="C3" s="242"/>
      <c r="D3" s="242"/>
      <c r="E3" s="242"/>
      <c r="F3" s="242"/>
      <c r="G3" s="242"/>
      <c r="H3" s="242"/>
      <c r="I3" s="242"/>
      <c r="J3" s="242"/>
      <c r="K3" s="242"/>
      <c r="L3" s="251"/>
      <c r="M3" s="251"/>
      <c r="N3" s="242">
        <f t="shared" si="0"/>
        <v>0.75</v>
      </c>
      <c r="O3" s="246">
        <f t="shared" ref="O3:O58" si="1">+O2+0.25</f>
        <v>1987.25</v>
      </c>
      <c r="P3" s="247">
        <f>VLOOKUP(INT(O3),'Exhibit 7.3'!$A$1:$I$129,9)*N3+(1-N3)*VLOOKUP(INT(O3)+1,'Exhibit 7.3'!$A$1:$I$129,9)</f>
        <v>0.1513262983424743</v>
      </c>
      <c r="Q3" s="246"/>
    </row>
    <row r="4" spans="1:20">
      <c r="A4" s="242"/>
      <c r="B4" s="242"/>
      <c r="C4" s="242"/>
      <c r="D4" s="242"/>
      <c r="E4" s="242"/>
      <c r="F4" s="242"/>
      <c r="G4" s="242"/>
      <c r="H4" s="242"/>
      <c r="I4" s="242"/>
      <c r="J4" s="242"/>
      <c r="K4" s="242"/>
      <c r="L4" s="242"/>
      <c r="M4" s="242"/>
      <c r="N4" s="242">
        <f t="shared" si="0"/>
        <v>0.5</v>
      </c>
      <c r="O4" s="246">
        <f t="shared" si="1"/>
        <v>1987.5</v>
      </c>
      <c r="P4" s="247">
        <f>VLOOKUP(INT(O4),'Exhibit 7.3'!$A$1:$I$129,9)*N4+(1-N4)*VLOOKUP(INT(O4)+1,'Exhibit 7.3'!$A$1:$I$129,9)</f>
        <v>0.15418340547878845</v>
      </c>
      <c r="Q4" s="246"/>
    </row>
    <row r="5" spans="1:20">
      <c r="A5" s="242"/>
      <c r="B5" s="242"/>
      <c r="C5" s="242"/>
      <c r="D5" s="242"/>
      <c r="E5" s="242"/>
      <c r="F5" s="242"/>
      <c r="G5" s="242"/>
      <c r="H5" s="242"/>
      <c r="I5" s="242"/>
      <c r="J5" s="242"/>
      <c r="K5" s="242"/>
      <c r="L5" s="242"/>
      <c r="M5" s="242"/>
      <c r="N5" s="242">
        <f t="shared" si="0"/>
        <v>0.25</v>
      </c>
      <c r="O5" s="246">
        <f t="shared" si="1"/>
        <v>1987.75</v>
      </c>
      <c r="P5" s="247">
        <f>VLOOKUP(INT(O5),'Exhibit 7.3'!$A$1:$I$129,9)*N5+(1-N5)*VLOOKUP(INT(O5)+1,'Exhibit 7.3'!$A$1:$I$129,9)</f>
        <v>0.1570405126151026</v>
      </c>
      <c r="Q5" s="246"/>
    </row>
    <row r="6" spans="1:20">
      <c r="A6" s="242"/>
      <c r="B6" s="242"/>
      <c r="C6" s="242"/>
      <c r="D6" s="242"/>
      <c r="E6" s="242"/>
      <c r="F6" s="242"/>
      <c r="G6" s="242"/>
      <c r="H6" s="242"/>
      <c r="I6" s="242"/>
      <c r="J6" s="242"/>
      <c r="K6" s="242"/>
      <c r="L6" s="242"/>
      <c r="M6" s="242"/>
      <c r="N6" s="242">
        <f t="shared" si="0"/>
        <v>1</v>
      </c>
      <c r="O6" s="246">
        <f t="shared" si="1"/>
        <v>1988</v>
      </c>
      <c r="P6" s="247">
        <f>VLOOKUP(INT(O6),'Exhibit 7.3'!$A$1:$I$129,9)*N6+(1-N6)*VLOOKUP(INT(O6)+1,'Exhibit 7.3'!$A$1:$I$129,9)</f>
        <v>0.15989761975141673</v>
      </c>
      <c r="Q6" s="246"/>
    </row>
    <row r="7" spans="1:20">
      <c r="A7" s="242"/>
      <c r="B7" s="242"/>
      <c r="C7" s="242"/>
      <c r="D7" s="242"/>
      <c r="E7" s="242"/>
      <c r="F7" s="242"/>
      <c r="G7" s="242"/>
      <c r="H7" s="242"/>
      <c r="I7" s="242"/>
      <c r="J7" s="242"/>
      <c r="K7" s="242"/>
      <c r="L7" s="242"/>
      <c r="M7" s="242"/>
      <c r="N7" s="242">
        <f t="shared" si="0"/>
        <v>0.75</v>
      </c>
      <c r="O7" s="246">
        <f t="shared" si="1"/>
        <v>1988.25</v>
      </c>
      <c r="P7" s="247">
        <f>VLOOKUP(INT(O7),'Exhibit 7.3'!$A$1:$I$129,9)*N7+(1-N7)*VLOOKUP(INT(O7)+1,'Exhibit 7.3'!$A$1:$I$129,9)</f>
        <v>0.16293902504447486</v>
      </c>
      <c r="Q7" s="246"/>
    </row>
    <row r="8" spans="1:20">
      <c r="A8" s="242"/>
      <c r="B8" s="242"/>
      <c r="C8" s="242"/>
      <c r="D8" s="242"/>
      <c r="E8" s="242"/>
      <c r="F8" s="242"/>
      <c r="G8" s="242"/>
      <c r="H8" s="242"/>
      <c r="I8" s="242"/>
      <c r="J8" s="242"/>
      <c r="K8" s="242"/>
      <c r="L8" s="242"/>
      <c r="M8" s="242"/>
      <c r="N8" s="242">
        <f t="shared" si="0"/>
        <v>0.5</v>
      </c>
      <c r="O8" s="246">
        <f t="shared" si="1"/>
        <v>1988.5</v>
      </c>
      <c r="P8" s="247">
        <f>VLOOKUP(INT(O8),'Exhibit 7.3'!$A$1:$I$129,9)*N8+(1-N8)*VLOOKUP(INT(O8)+1,'Exhibit 7.3'!$A$1:$I$129,9)</f>
        <v>0.16598043033753296</v>
      </c>
      <c r="Q8" s="246"/>
    </row>
    <row r="9" spans="1:20">
      <c r="A9" s="242"/>
      <c r="B9" s="242"/>
      <c r="C9" s="242"/>
      <c r="D9" s="242"/>
      <c r="E9" s="242"/>
      <c r="F9" s="242"/>
      <c r="G9" s="242"/>
      <c r="H9" s="242"/>
      <c r="I9" s="242"/>
      <c r="J9" s="242"/>
      <c r="K9" s="242"/>
      <c r="L9" s="242"/>
      <c r="M9" s="242"/>
      <c r="N9" s="242">
        <f t="shared" si="0"/>
        <v>0.25</v>
      </c>
      <c r="O9" s="246">
        <f t="shared" si="1"/>
        <v>1988.75</v>
      </c>
      <c r="P9" s="247">
        <f>VLOOKUP(INT(O9),'Exhibit 7.3'!$A$1:$I$129,9)*N9+(1-N9)*VLOOKUP(INT(O9)+1,'Exhibit 7.3'!$A$1:$I$129,9)</f>
        <v>0.16902183563059109</v>
      </c>
      <c r="Q9" s="246"/>
    </row>
    <row r="10" spans="1:20">
      <c r="A10" s="242"/>
      <c r="B10" s="242"/>
      <c r="C10" s="242"/>
      <c r="D10" s="242"/>
      <c r="E10" s="242"/>
      <c r="F10" s="242"/>
      <c r="G10" s="242"/>
      <c r="H10" s="242"/>
      <c r="I10" s="242"/>
      <c r="J10" s="242"/>
      <c r="K10" s="242"/>
      <c r="L10" s="242"/>
      <c r="M10" s="242"/>
      <c r="N10" s="242">
        <f t="shared" si="0"/>
        <v>1</v>
      </c>
      <c r="O10" s="246">
        <f t="shared" si="1"/>
        <v>1989</v>
      </c>
      <c r="P10" s="247">
        <f>VLOOKUP(INT(O10),'Exhibit 7.3'!$A$1:$I$129,9)*N10+(1-N10)*VLOOKUP(INT(O10)+1,'Exhibit 7.3'!$A$1:$I$129,9)</f>
        <v>0.17206324092364922</v>
      </c>
      <c r="Q10" s="246"/>
    </row>
    <row r="11" spans="1:20">
      <c r="A11" s="242"/>
      <c r="B11" s="242"/>
      <c r="C11" s="242"/>
      <c r="D11" s="242"/>
      <c r="E11" s="242"/>
      <c r="F11" s="242"/>
      <c r="G11" s="242"/>
      <c r="H11" s="242"/>
      <c r="I11" s="242"/>
      <c r="J11" s="242"/>
      <c r="K11" s="242"/>
      <c r="L11" s="242"/>
      <c r="M11" s="242"/>
      <c r="N11" s="242">
        <f t="shared" si="0"/>
        <v>0.75</v>
      </c>
      <c r="O11" s="246">
        <f t="shared" si="1"/>
        <v>1989.25</v>
      </c>
      <c r="P11" s="247">
        <f>VLOOKUP(INT(O11),'Exhibit 7.3'!$A$1:$I$129,9)*N11+(1-N11)*VLOOKUP(INT(O11)+1,'Exhibit 7.3'!$A$1:$I$129,9)</f>
        <v>0.17151176310602936</v>
      </c>
      <c r="Q11" s="246"/>
    </row>
    <row r="12" spans="1:20">
      <c r="A12" s="242"/>
      <c r="B12" s="242"/>
      <c r="C12" s="242"/>
      <c r="D12" s="242"/>
      <c r="E12" s="242"/>
      <c r="F12" s="242"/>
      <c r="G12" s="242"/>
      <c r="H12" s="242"/>
      <c r="I12" s="242"/>
      <c r="J12" s="242"/>
      <c r="K12" s="242"/>
      <c r="L12" s="242"/>
      <c r="M12" s="242"/>
      <c r="N12" s="242">
        <f t="shared" si="0"/>
        <v>0.5</v>
      </c>
      <c r="O12" s="246">
        <f t="shared" si="1"/>
        <v>1989.5</v>
      </c>
      <c r="P12" s="247">
        <f>VLOOKUP(INT(O12),'Exhibit 7.3'!$A$1:$I$129,9)*N12+(1-N12)*VLOOKUP(INT(O12)+1,'Exhibit 7.3'!$A$1:$I$129,9)</f>
        <v>0.17096028528840951</v>
      </c>
      <c r="Q12" s="246"/>
    </row>
    <row r="13" spans="1:20">
      <c r="A13" s="242"/>
      <c r="B13" s="242"/>
      <c r="C13" s="242"/>
      <c r="D13" s="242"/>
      <c r="E13" s="242"/>
      <c r="F13" s="242"/>
      <c r="G13" s="242"/>
      <c r="H13" s="242"/>
      <c r="I13" s="242"/>
      <c r="J13" s="242"/>
      <c r="K13" s="242"/>
      <c r="L13" s="242"/>
      <c r="M13" s="242"/>
      <c r="N13" s="242">
        <f t="shared" si="0"/>
        <v>0.25</v>
      </c>
      <c r="O13" s="246">
        <f t="shared" si="1"/>
        <v>1989.75</v>
      </c>
      <c r="P13" s="247">
        <f>VLOOKUP(INT(O13),'Exhibit 7.3'!$A$1:$I$129,9)*N13+(1-N13)*VLOOKUP(INT(O13)+1,'Exhibit 7.3'!$A$1:$I$129,9)</f>
        <v>0.17040880747078962</v>
      </c>
      <c r="Q13" s="246"/>
      <c r="T13" s="339"/>
    </row>
    <row r="14" spans="1:20">
      <c r="A14" s="242"/>
      <c r="B14" s="242"/>
      <c r="C14" s="242"/>
      <c r="D14" s="242"/>
      <c r="E14" s="242"/>
      <c r="F14" s="242"/>
      <c r="G14" s="242"/>
      <c r="H14" s="242"/>
      <c r="I14" s="242"/>
      <c r="J14" s="242"/>
      <c r="K14" s="242"/>
      <c r="L14" s="242"/>
      <c r="M14" s="242"/>
      <c r="N14" s="242">
        <f t="shared" si="0"/>
        <v>1</v>
      </c>
      <c r="O14" s="246">
        <f t="shared" si="1"/>
        <v>1990</v>
      </c>
      <c r="P14" s="247">
        <f>VLOOKUP(INT(O14),'Exhibit 7.3'!$A$1:$I$129,9)*N14+(1-N14)*VLOOKUP(INT(O14)+1,'Exhibit 7.3'!$A$1:$I$129,9)</f>
        <v>0.16985732965316977</v>
      </c>
      <c r="Q14" s="246"/>
    </row>
    <row r="15" spans="1:20">
      <c r="A15" s="242"/>
      <c r="B15" s="242"/>
      <c r="C15" s="242"/>
      <c r="D15" s="242"/>
      <c r="E15" s="242"/>
      <c r="F15" s="242"/>
      <c r="G15" s="242"/>
      <c r="H15" s="242"/>
      <c r="I15" s="242"/>
      <c r="J15" s="242"/>
      <c r="K15" s="242"/>
      <c r="L15" s="242"/>
      <c r="M15" s="242"/>
      <c r="N15" s="242">
        <f t="shared" si="0"/>
        <v>0.75</v>
      </c>
      <c r="O15" s="246">
        <f t="shared" si="1"/>
        <v>1990.25</v>
      </c>
      <c r="P15" s="247">
        <f>VLOOKUP(INT(O15),'Exhibit 7.3'!$A$1:$I$129,9)*N15+(1-N15)*VLOOKUP(INT(O15)+1,'Exhibit 7.3'!$A$1:$I$129,9)</f>
        <v>0.16953206062805765</v>
      </c>
      <c r="Q15" s="246"/>
    </row>
    <row r="16" spans="1:20">
      <c r="A16" s="242"/>
      <c r="B16" s="242"/>
      <c r="C16" s="242"/>
      <c r="D16" s="242"/>
      <c r="E16" s="242"/>
      <c r="F16" s="242"/>
      <c r="G16" s="242"/>
      <c r="H16" s="242"/>
      <c r="I16" s="242"/>
      <c r="J16" s="242"/>
      <c r="K16" s="242"/>
      <c r="L16" s="242"/>
      <c r="M16" s="242"/>
      <c r="N16" s="242">
        <f t="shared" si="0"/>
        <v>0.5</v>
      </c>
      <c r="O16" s="246">
        <f t="shared" si="1"/>
        <v>1990.5</v>
      </c>
      <c r="P16" s="247">
        <f>VLOOKUP(INT(O16),'Exhibit 7.3'!$A$1:$I$129,9)*N16+(1-N16)*VLOOKUP(INT(O16)+1,'Exhibit 7.3'!$A$1:$I$129,9)</f>
        <v>0.16920679160294552</v>
      </c>
      <c r="Q16" s="246"/>
    </row>
    <row r="17" spans="1:17">
      <c r="A17" s="242"/>
      <c r="B17" s="242"/>
      <c r="C17" s="242"/>
      <c r="D17" s="242"/>
      <c r="E17" s="242"/>
      <c r="F17" s="242"/>
      <c r="G17" s="242"/>
      <c r="H17" s="242"/>
      <c r="I17" s="242"/>
      <c r="J17" s="242"/>
      <c r="K17" s="242"/>
      <c r="L17" s="242"/>
      <c r="M17" s="242"/>
      <c r="N17" s="242">
        <f t="shared" si="0"/>
        <v>0.25</v>
      </c>
      <c r="O17" s="246">
        <f t="shared" si="1"/>
        <v>1990.75</v>
      </c>
      <c r="P17" s="247">
        <f>VLOOKUP(INT(O17),'Exhibit 7.3'!$A$1:$I$129,9)*N17+(1-N17)*VLOOKUP(INT(O17)+1,'Exhibit 7.3'!$A$1:$I$129,9)</f>
        <v>0.1688815225778334</v>
      </c>
      <c r="Q17" s="246"/>
    </row>
    <row r="18" spans="1:17">
      <c r="A18" s="242"/>
      <c r="B18" s="242"/>
      <c r="C18" s="242"/>
      <c r="D18" s="242"/>
      <c r="E18" s="242"/>
      <c r="F18" s="242"/>
      <c r="G18" s="242"/>
      <c r="H18" s="242"/>
      <c r="I18" s="242"/>
      <c r="J18" s="242"/>
      <c r="K18" s="242"/>
      <c r="L18" s="242"/>
      <c r="M18" s="242"/>
      <c r="N18" s="242">
        <f t="shared" si="0"/>
        <v>1</v>
      </c>
      <c r="O18" s="246">
        <f t="shared" si="1"/>
        <v>1991</v>
      </c>
      <c r="P18" s="247">
        <f>VLOOKUP(INT(O18),'Exhibit 7.3'!$A$1:$I$129,9)*N18+(1-N18)*VLOOKUP(INT(O18)+1,'Exhibit 7.3'!$A$1:$I$129,9)</f>
        <v>0.16855625355272127</v>
      </c>
      <c r="Q18" s="246"/>
    </row>
    <row r="19" spans="1:17">
      <c r="A19" s="242"/>
      <c r="B19" s="242"/>
      <c r="C19" s="242"/>
      <c r="D19" s="242"/>
      <c r="E19" s="242"/>
      <c r="F19" s="242"/>
      <c r="G19" s="242"/>
      <c r="H19" s="242"/>
      <c r="I19" s="242"/>
      <c r="J19" s="242"/>
      <c r="K19" s="242"/>
      <c r="L19" s="242"/>
      <c r="M19" s="242"/>
      <c r="N19" s="242">
        <f t="shared" si="0"/>
        <v>0.75</v>
      </c>
      <c r="O19" s="246">
        <f t="shared" si="1"/>
        <v>1991.25</v>
      </c>
      <c r="P19" s="247">
        <f>VLOOKUP(INT(O19),'Exhibit 7.3'!$A$1:$I$129,9)*N19+(1-N19)*VLOOKUP(INT(O19)+1,'Exhibit 7.3'!$A$1:$I$129,9)</f>
        <v>0.16701575477948322</v>
      </c>
      <c r="Q19" s="246"/>
    </row>
    <row r="20" spans="1:17">
      <c r="A20" s="242"/>
      <c r="B20" s="242"/>
      <c r="C20" s="242"/>
      <c r="D20" s="242"/>
      <c r="E20" s="242"/>
      <c r="F20" s="242"/>
      <c r="G20" s="242"/>
      <c r="H20" s="242"/>
      <c r="I20" s="242"/>
      <c r="J20" s="242"/>
      <c r="K20" s="242"/>
      <c r="L20" s="242"/>
      <c r="M20" s="242"/>
      <c r="N20" s="242">
        <f t="shared" si="0"/>
        <v>0.5</v>
      </c>
      <c r="O20" s="246">
        <f t="shared" si="1"/>
        <v>1991.5</v>
      </c>
      <c r="P20" s="247">
        <f>VLOOKUP(INT(O20),'Exhibit 7.3'!$A$1:$I$129,9)*N20+(1-N20)*VLOOKUP(INT(O20)+1,'Exhibit 7.3'!$A$1:$I$129,9)</f>
        <v>0.16547525600624519</v>
      </c>
      <c r="Q20" s="246"/>
    </row>
    <row r="21" spans="1:17">
      <c r="A21" s="242"/>
      <c r="B21" s="242"/>
      <c r="C21" s="242"/>
      <c r="D21" s="242"/>
      <c r="E21" s="242"/>
      <c r="F21" s="242"/>
      <c r="G21" s="242"/>
      <c r="H21" s="242"/>
      <c r="I21" s="242"/>
      <c r="J21" s="242"/>
      <c r="K21" s="242"/>
      <c r="L21" s="242"/>
      <c r="M21" s="242"/>
      <c r="N21" s="242">
        <f t="shared" si="0"/>
        <v>0.25</v>
      </c>
      <c r="O21" s="246">
        <f t="shared" si="1"/>
        <v>1991.75</v>
      </c>
      <c r="P21" s="247">
        <f>VLOOKUP(INT(O21),'Exhibit 7.3'!$A$1:$I$129,9)*N21+(1-N21)*VLOOKUP(INT(O21)+1,'Exhibit 7.3'!$A$1:$I$129,9)</f>
        <v>0.16393475723300713</v>
      </c>
      <c r="Q21" s="246"/>
    </row>
    <row r="22" spans="1:17">
      <c r="A22" s="242"/>
      <c r="B22" s="242"/>
      <c r="C22" s="242"/>
      <c r="D22" s="242"/>
      <c r="E22" s="242"/>
      <c r="F22" s="242"/>
      <c r="G22" s="242"/>
      <c r="H22" s="242"/>
      <c r="I22" s="242"/>
      <c r="J22" s="242"/>
      <c r="K22" s="242"/>
      <c r="L22" s="242"/>
      <c r="M22" s="242"/>
      <c r="N22" s="242">
        <f t="shared" si="0"/>
        <v>1</v>
      </c>
      <c r="O22" s="246">
        <f t="shared" si="1"/>
        <v>1992</v>
      </c>
      <c r="P22" s="247">
        <f>VLOOKUP(INT(O22),'Exhibit 7.3'!$A$1:$I$129,9)*N22+(1-N22)*VLOOKUP(INT(O22)+1,'Exhibit 7.3'!$A$1:$I$129,9)</f>
        <v>0.16239425845976907</v>
      </c>
      <c r="Q22" s="246"/>
    </row>
    <row r="23" spans="1:17">
      <c r="A23" s="242"/>
      <c r="B23" s="242"/>
      <c r="C23" s="242"/>
      <c r="D23" s="242"/>
      <c r="E23" s="242"/>
      <c r="F23" s="242"/>
      <c r="G23" s="242"/>
      <c r="H23" s="242"/>
      <c r="I23" s="242"/>
      <c r="J23" s="242"/>
      <c r="K23" s="242"/>
      <c r="L23" s="242"/>
      <c r="M23" s="242"/>
      <c r="N23" s="242">
        <f t="shared" si="0"/>
        <v>0.75</v>
      </c>
      <c r="O23" s="246">
        <f t="shared" si="1"/>
        <v>1992.25</v>
      </c>
      <c r="P23" s="247">
        <f>VLOOKUP(INT(O23),'Exhibit 7.3'!$A$1:$I$129,9)*N23+(1-N23)*VLOOKUP(INT(O23)+1,'Exhibit 7.3'!$A$1:$I$129,9)</f>
        <v>0.16323491323006287</v>
      </c>
      <c r="Q23" s="246"/>
    </row>
    <row r="24" spans="1:17">
      <c r="A24" s="242"/>
      <c r="B24" s="242"/>
      <c r="C24" s="242"/>
      <c r="D24" s="242"/>
      <c r="E24" s="242"/>
      <c r="F24" s="242"/>
      <c r="G24" s="242"/>
      <c r="H24" s="242"/>
      <c r="I24" s="242"/>
      <c r="J24" s="242"/>
      <c r="K24" s="242"/>
      <c r="L24" s="242"/>
      <c r="M24" s="242"/>
      <c r="N24" s="242">
        <f t="shared" si="0"/>
        <v>0.5</v>
      </c>
      <c r="O24" s="246">
        <f t="shared" si="1"/>
        <v>1992.5</v>
      </c>
      <c r="P24" s="247">
        <f>VLOOKUP(INT(O24),'Exhibit 7.3'!$A$1:$I$129,9)*N24+(1-N24)*VLOOKUP(INT(O24)+1,'Exhibit 7.3'!$A$1:$I$129,9)</f>
        <v>0.16407556800035666</v>
      </c>
      <c r="Q24" s="246"/>
    </row>
    <row r="25" spans="1:17">
      <c r="A25" s="242"/>
      <c r="B25" s="242"/>
      <c r="C25" s="242"/>
      <c r="D25" s="242"/>
      <c r="E25" s="242"/>
      <c r="F25" s="242"/>
      <c r="G25" s="242"/>
      <c r="H25" s="242"/>
      <c r="I25" s="242"/>
      <c r="J25" s="242"/>
      <c r="K25" s="242"/>
      <c r="L25" s="242"/>
      <c r="M25" s="242"/>
      <c r="N25" s="242">
        <f t="shared" si="0"/>
        <v>0.25</v>
      </c>
      <c r="O25" s="246">
        <f t="shared" si="1"/>
        <v>1992.75</v>
      </c>
      <c r="P25" s="247">
        <f>VLOOKUP(INT(O25),'Exhibit 7.3'!$A$1:$I$129,9)*N25+(1-N25)*VLOOKUP(INT(O25)+1,'Exhibit 7.3'!$A$1:$I$129,9)</f>
        <v>0.16491622277065049</v>
      </c>
      <c r="Q25" s="246"/>
    </row>
    <row r="26" spans="1:17">
      <c r="A26" s="242"/>
      <c r="B26" s="242"/>
      <c r="C26" s="242"/>
      <c r="D26" s="242"/>
      <c r="E26" s="242"/>
      <c r="F26" s="242"/>
      <c r="G26" s="242"/>
      <c r="H26" s="242"/>
      <c r="I26" s="242"/>
      <c r="J26" s="242"/>
      <c r="K26" s="242"/>
      <c r="L26" s="242"/>
      <c r="M26" s="242"/>
      <c r="N26" s="242">
        <f t="shared" si="0"/>
        <v>1</v>
      </c>
      <c r="O26" s="246">
        <f t="shared" si="1"/>
        <v>1993</v>
      </c>
      <c r="P26" s="247">
        <f>VLOOKUP(INT(O26),'Exhibit 7.3'!$A$1:$I$129,9)*N26+(1-N26)*VLOOKUP(INT(O26)+1,'Exhibit 7.3'!$A$1:$I$129,9)</f>
        <v>0.16575687754094429</v>
      </c>
      <c r="Q26" s="246"/>
    </row>
    <row r="27" spans="1:17">
      <c r="A27" s="242"/>
      <c r="B27" s="242"/>
      <c r="C27" s="242"/>
      <c r="D27" s="242"/>
      <c r="E27" s="242"/>
      <c r="F27" s="242"/>
      <c r="G27" s="242"/>
      <c r="H27" s="242"/>
      <c r="I27" s="242"/>
      <c r="J27" s="242"/>
      <c r="K27" s="242"/>
      <c r="L27" s="242"/>
      <c r="M27" s="242"/>
      <c r="N27" s="242">
        <f t="shared" si="0"/>
        <v>0.75</v>
      </c>
      <c r="O27" s="246">
        <f t="shared" si="1"/>
        <v>1993.25</v>
      </c>
      <c r="P27" s="247">
        <f>VLOOKUP(INT(O27),'Exhibit 7.3'!$A$1:$I$129,9)*N27+(1-N27)*VLOOKUP(INT(O27)+1,'Exhibit 7.3'!$A$1:$I$129,9)</f>
        <v>0.16860404506682758</v>
      </c>
      <c r="Q27" s="246"/>
    </row>
    <row r="28" spans="1:17">
      <c r="A28" s="242"/>
      <c r="B28" s="242"/>
      <c r="C28" s="242"/>
      <c r="D28" s="242"/>
      <c r="E28" s="242"/>
      <c r="F28" s="242"/>
      <c r="G28" s="242"/>
      <c r="H28" s="242"/>
      <c r="I28" s="242"/>
      <c r="J28" s="242"/>
      <c r="K28" s="242"/>
      <c r="L28" s="242"/>
      <c r="M28" s="242"/>
      <c r="N28" s="242">
        <f t="shared" si="0"/>
        <v>0.5</v>
      </c>
      <c r="O28" s="246">
        <f t="shared" si="1"/>
        <v>1993.5</v>
      </c>
      <c r="P28" s="247">
        <f>VLOOKUP(INT(O28),'Exhibit 7.3'!$A$1:$I$129,9)*N28+(1-N28)*VLOOKUP(INT(O28)+1,'Exhibit 7.3'!$A$1:$I$129,9)</f>
        <v>0.17145121259271084</v>
      </c>
      <c r="Q28" s="246"/>
    </row>
    <row r="29" spans="1:17">
      <c r="A29" s="242"/>
      <c r="B29" s="242"/>
      <c r="C29" s="242"/>
      <c r="D29" s="242"/>
      <c r="E29" s="242"/>
      <c r="F29" s="242"/>
      <c r="G29" s="242"/>
      <c r="H29" s="242"/>
      <c r="I29" s="242"/>
      <c r="J29" s="242"/>
      <c r="K29" s="242"/>
      <c r="L29" s="242"/>
      <c r="M29" s="242"/>
      <c r="N29" s="242">
        <f t="shared" si="0"/>
        <v>0.25</v>
      </c>
      <c r="O29" s="246">
        <f t="shared" si="1"/>
        <v>1993.75</v>
      </c>
      <c r="P29" s="247">
        <f>VLOOKUP(INT(O29),'Exhibit 7.3'!$A$1:$I$129,9)*N29+(1-N29)*VLOOKUP(INT(O29)+1,'Exhibit 7.3'!$A$1:$I$129,9)</f>
        <v>0.17429838011859408</v>
      </c>
      <c r="Q29" s="246"/>
    </row>
    <row r="30" spans="1:17">
      <c r="A30" s="242"/>
      <c r="B30" s="242"/>
      <c r="C30" s="242"/>
      <c r="D30" s="242"/>
      <c r="E30" s="242"/>
      <c r="F30" s="242"/>
      <c r="G30" s="242"/>
      <c r="H30" s="242"/>
      <c r="I30" s="242"/>
      <c r="J30" s="242"/>
      <c r="K30" s="242"/>
      <c r="L30" s="242"/>
      <c r="M30" s="242"/>
      <c r="N30" s="242">
        <f t="shared" si="0"/>
        <v>1</v>
      </c>
      <c r="O30" s="246">
        <f t="shared" si="1"/>
        <v>1994</v>
      </c>
      <c r="P30" s="247">
        <f>VLOOKUP(INT(O30),'Exhibit 7.3'!$A$1:$I$129,9)*N30+(1-N30)*VLOOKUP(INT(O30)+1,'Exhibit 7.3'!$A$1:$I$129,9)</f>
        <v>0.17714554764447737</v>
      </c>
      <c r="Q30" s="246"/>
    </row>
    <row r="31" spans="1:17" ht="15">
      <c r="A31" s="242"/>
      <c r="B31" s="242"/>
      <c r="C31" s="242"/>
      <c r="D31" s="242"/>
      <c r="E31" s="242"/>
      <c r="F31" s="242"/>
      <c r="G31" s="242"/>
      <c r="H31" s="242"/>
      <c r="I31" s="242"/>
      <c r="J31" s="242"/>
      <c r="K31" s="242"/>
      <c r="L31" s="242"/>
      <c r="M31"/>
      <c r="N31" s="242">
        <f t="shared" si="0"/>
        <v>0.75</v>
      </c>
      <c r="O31" s="246">
        <f t="shared" si="1"/>
        <v>1994.25</v>
      </c>
      <c r="P31" s="247">
        <f>VLOOKUP(INT(O31),'Exhibit 7.3'!$A$1:$I$129,9)*N31+(1-N31)*VLOOKUP(INT(O31)+1,'Exhibit 7.3'!$A$1:$I$129,9)</f>
        <v>0.18208127821296083</v>
      </c>
      <c r="Q31" s="246"/>
    </row>
    <row r="32" spans="1:17">
      <c r="A32" s="242"/>
      <c r="B32" s="242"/>
      <c r="C32" s="242"/>
      <c r="D32" s="242"/>
      <c r="E32" s="242"/>
      <c r="F32" s="242"/>
      <c r="G32" s="242"/>
      <c r="H32" s="242"/>
      <c r="I32" s="242"/>
      <c r="J32" s="242"/>
      <c r="K32" s="242"/>
      <c r="L32" s="242"/>
      <c r="M32" s="242"/>
      <c r="N32" s="242">
        <f t="shared" si="0"/>
        <v>0.5</v>
      </c>
      <c r="O32" s="246">
        <f t="shared" si="1"/>
        <v>1994.5</v>
      </c>
      <c r="P32" s="247">
        <f>VLOOKUP(INT(O32),'Exhibit 7.3'!$A$1:$I$129,9)*N32+(1-N32)*VLOOKUP(INT(O32)+1,'Exhibit 7.3'!$A$1:$I$129,9)</f>
        <v>0.18701700878144428</v>
      </c>
      <c r="Q32" s="246"/>
    </row>
    <row r="33" spans="1:17">
      <c r="A33" s="242"/>
      <c r="B33" s="242"/>
      <c r="C33" s="242"/>
      <c r="D33" s="242"/>
      <c r="E33" s="242"/>
      <c r="F33" s="242"/>
      <c r="G33" s="242"/>
      <c r="H33" s="242"/>
      <c r="I33" s="242"/>
      <c r="J33" s="242"/>
      <c r="K33" s="242"/>
      <c r="L33" s="242"/>
      <c r="M33" s="242"/>
      <c r="N33" s="242">
        <f t="shared" si="0"/>
        <v>0.25</v>
      </c>
      <c r="O33" s="246">
        <f t="shared" si="1"/>
        <v>1994.75</v>
      </c>
      <c r="P33" s="247">
        <f>VLOOKUP(INT(O33),'Exhibit 7.3'!$A$1:$I$129,9)*N33+(1-N33)*VLOOKUP(INT(O33)+1,'Exhibit 7.3'!$A$1:$I$129,9)</f>
        <v>0.19195273934992774</v>
      </c>
      <c r="Q33" s="246"/>
    </row>
    <row r="34" spans="1:17">
      <c r="A34" s="242"/>
      <c r="B34" s="242"/>
      <c r="C34" s="242"/>
      <c r="D34" s="242"/>
      <c r="E34" s="242"/>
      <c r="F34" s="242"/>
      <c r="G34" s="242"/>
      <c r="H34" s="242"/>
      <c r="I34" s="242"/>
      <c r="J34" s="242"/>
      <c r="K34" s="242"/>
      <c r="L34" s="242"/>
      <c r="M34" s="242"/>
      <c r="N34" s="242">
        <f t="shared" si="0"/>
        <v>1</v>
      </c>
      <c r="O34" s="246">
        <f t="shared" si="1"/>
        <v>1995</v>
      </c>
      <c r="P34" s="247">
        <f>VLOOKUP(INT(O34),'Exhibit 7.3'!$A$1:$I$129,9)*N34+(1-N34)*VLOOKUP(INT(O34)+1,'Exhibit 7.3'!$A$1:$I$129,9)</f>
        <v>0.19688846991841122</v>
      </c>
      <c r="Q34" s="246"/>
    </row>
    <row r="35" spans="1:17">
      <c r="A35" s="242"/>
      <c r="B35" s="242"/>
      <c r="C35" s="242"/>
      <c r="D35" s="242"/>
      <c r="E35" s="242"/>
      <c r="F35" s="242"/>
      <c r="G35" s="242"/>
      <c r="H35" s="242"/>
      <c r="I35" s="242"/>
      <c r="J35" s="242"/>
      <c r="K35" s="242"/>
      <c r="L35" s="242"/>
      <c r="M35" s="242"/>
      <c r="N35" s="242">
        <f t="shared" si="0"/>
        <v>0.75</v>
      </c>
      <c r="O35" s="246">
        <f t="shared" si="1"/>
        <v>1995.25</v>
      </c>
      <c r="P35" s="247">
        <f>VLOOKUP(INT(O35),'Exhibit 7.3'!$A$1:$I$129,9)*N35+(1-N35)*VLOOKUP(INT(O35)+1,'Exhibit 7.3'!$A$1:$I$129,9)</f>
        <v>0.19849088012918498</v>
      </c>
      <c r="Q35" s="246"/>
    </row>
    <row r="36" spans="1:17">
      <c r="A36" s="330" t="s">
        <v>349</v>
      </c>
      <c r="B36" s="242"/>
      <c r="C36" s="242"/>
      <c r="D36" s="242"/>
      <c r="E36" s="242"/>
      <c r="F36" s="242"/>
      <c r="G36" s="242"/>
      <c r="H36" s="242"/>
      <c r="I36" s="242"/>
      <c r="J36" s="242"/>
      <c r="K36" s="242"/>
      <c r="L36" s="242"/>
      <c r="M36" s="242"/>
      <c r="N36" s="242">
        <f t="shared" si="0"/>
        <v>0.5</v>
      </c>
      <c r="O36" s="246">
        <f t="shared" si="1"/>
        <v>1995.5</v>
      </c>
      <c r="P36" s="247">
        <f>VLOOKUP(INT(O36),'Exhibit 7.3'!$A$1:$I$129,9)*N36+(1-N36)*VLOOKUP(INT(O36)+1,'Exhibit 7.3'!$A$1:$I$129,9)</f>
        <v>0.20009329033995871</v>
      </c>
      <c r="Q36" s="246"/>
    </row>
    <row r="37" spans="1:17" ht="12.75" customHeight="1">
      <c r="A37" s="456" t="s">
        <v>489</v>
      </c>
      <c r="B37" s="457"/>
      <c r="C37" s="457"/>
      <c r="D37" s="457"/>
      <c r="E37" s="457"/>
      <c r="F37" s="457"/>
      <c r="G37" s="457"/>
      <c r="H37" s="457"/>
      <c r="I37" s="457"/>
      <c r="J37" s="457"/>
      <c r="K37" s="457"/>
      <c r="L37" s="242"/>
      <c r="M37" s="242"/>
      <c r="N37" s="242">
        <f t="shared" si="0"/>
        <v>0.25</v>
      </c>
      <c r="O37" s="246">
        <f t="shared" si="1"/>
        <v>1995.75</v>
      </c>
      <c r="P37" s="247">
        <f>VLOOKUP(INT(O37),'Exhibit 7.3'!$A$1:$I$129,9)*N37+(1-N37)*VLOOKUP(INT(O37)+1,'Exhibit 7.3'!$A$1:$I$129,9)</f>
        <v>0.20169570055073249</v>
      </c>
      <c r="Q37" s="246"/>
    </row>
    <row r="38" spans="1:17" ht="12.75" customHeight="1">
      <c r="A38" s="457"/>
      <c r="B38" s="457"/>
      <c r="C38" s="457"/>
      <c r="D38" s="457"/>
      <c r="E38" s="457"/>
      <c r="F38" s="457"/>
      <c r="G38" s="457"/>
      <c r="H38" s="457"/>
      <c r="I38" s="457"/>
      <c r="J38" s="457"/>
      <c r="K38" s="457"/>
      <c r="L38" s="242"/>
      <c r="M38" s="242"/>
      <c r="N38" s="242">
        <f t="shared" si="0"/>
        <v>1</v>
      </c>
      <c r="O38" s="246">
        <f t="shared" si="1"/>
        <v>1996</v>
      </c>
      <c r="P38" s="247">
        <f>VLOOKUP(INT(O38),'Exhibit 7.3'!$A$1:$I$129,9)*N38+(1-N38)*VLOOKUP(INT(O38)+1,'Exhibit 7.3'!$A$1:$I$129,9)</f>
        <v>0.20329811076150622</v>
      </c>
      <c r="Q38" s="246"/>
    </row>
    <row r="39" spans="1:17">
      <c r="A39" s="242"/>
      <c r="B39" s="242"/>
      <c r="C39" s="242"/>
      <c r="D39" s="242"/>
      <c r="E39" s="242"/>
      <c r="F39" s="242"/>
      <c r="G39" s="242"/>
      <c r="H39" s="242"/>
      <c r="I39" s="242"/>
      <c r="J39" s="242"/>
      <c r="K39" s="242"/>
      <c r="L39" s="242"/>
      <c r="M39" s="242"/>
      <c r="N39" s="242">
        <f t="shared" si="0"/>
        <v>0.75</v>
      </c>
      <c r="O39" s="246">
        <f t="shared" si="1"/>
        <v>1996.25</v>
      </c>
      <c r="P39" s="247">
        <f>VLOOKUP(INT(O39),'Exhibit 7.3'!$A$1:$I$129,9)*N39+(1-N39)*VLOOKUP(INT(O39)+1,'Exhibit 7.3'!$A$1:$I$129,9)</f>
        <v>0.21081443236485436</v>
      </c>
      <c r="Q39" s="246"/>
    </row>
    <row r="40" spans="1:17">
      <c r="A40" s="242"/>
      <c r="B40" s="242"/>
      <c r="C40" s="242"/>
      <c r="D40" s="242"/>
      <c r="E40" s="242"/>
      <c r="F40" s="242"/>
      <c r="G40" s="242"/>
      <c r="H40" s="242"/>
      <c r="I40" s="242"/>
      <c r="J40" s="242"/>
      <c r="K40" s="242"/>
      <c r="L40" s="242"/>
      <c r="M40" s="242"/>
      <c r="N40" s="242">
        <f t="shared" si="0"/>
        <v>0.5</v>
      </c>
      <c r="O40" s="246">
        <f t="shared" si="1"/>
        <v>1996.5</v>
      </c>
      <c r="P40" s="247">
        <f>VLOOKUP(INT(O40),'Exhibit 7.3'!$A$1:$I$129,9)*N40+(1-N40)*VLOOKUP(INT(O40)+1,'Exhibit 7.3'!$A$1:$I$129,9)</f>
        <v>0.21833075396820251</v>
      </c>
      <c r="Q40" s="246"/>
    </row>
    <row r="41" spans="1:17">
      <c r="A41" s="242"/>
      <c r="B41" s="242"/>
      <c r="C41" s="242"/>
      <c r="D41" s="242"/>
      <c r="E41" s="242"/>
      <c r="F41" s="242"/>
      <c r="G41" s="242"/>
      <c r="H41" s="242"/>
      <c r="I41" s="242"/>
      <c r="J41" s="242"/>
      <c r="K41" s="242"/>
      <c r="L41" s="242"/>
      <c r="M41" s="242"/>
      <c r="N41" s="242">
        <f t="shared" si="0"/>
        <v>0.25</v>
      </c>
      <c r="O41" s="246">
        <f t="shared" si="1"/>
        <v>1996.75</v>
      </c>
      <c r="P41" s="247">
        <f>VLOOKUP(INT(O41),'Exhibit 7.3'!$A$1:$I$129,9)*N41+(1-N41)*VLOOKUP(INT(O41)+1,'Exhibit 7.3'!$A$1:$I$129,9)</f>
        <v>0.22584707557155065</v>
      </c>
      <c r="Q41" s="246"/>
    </row>
    <row r="42" spans="1:17">
      <c r="A42" s="242"/>
      <c r="B42" s="242"/>
      <c r="C42" s="242"/>
      <c r="D42" s="242"/>
      <c r="E42" s="242"/>
      <c r="F42" s="242"/>
      <c r="G42" s="242"/>
      <c r="H42" s="242"/>
      <c r="I42" s="242"/>
      <c r="J42" s="242"/>
      <c r="K42" s="242"/>
      <c r="L42" s="242"/>
      <c r="M42" s="242"/>
      <c r="N42" s="242">
        <f t="shared" si="0"/>
        <v>1</v>
      </c>
      <c r="O42" s="246">
        <f t="shared" si="1"/>
        <v>1997</v>
      </c>
      <c r="P42" s="247">
        <f>VLOOKUP(INT(O42),'Exhibit 7.3'!$A$1:$I$129,9)*N42+(1-N42)*VLOOKUP(INT(O42)+1,'Exhibit 7.3'!$A$1:$I$129,9)</f>
        <v>0.23336339717489879</v>
      </c>
      <c r="Q42" s="246"/>
    </row>
    <row r="43" spans="1:17">
      <c r="A43" s="242"/>
      <c r="B43" s="242"/>
      <c r="C43" s="242"/>
      <c r="D43" s="242"/>
      <c r="E43" s="242"/>
      <c r="F43" s="242"/>
      <c r="G43" s="242"/>
      <c r="H43" s="242"/>
      <c r="I43" s="242"/>
      <c r="J43" s="242"/>
      <c r="K43" s="242"/>
      <c r="L43" s="242"/>
      <c r="M43" s="242"/>
      <c r="N43" s="242">
        <f t="shared" si="0"/>
        <v>0.75</v>
      </c>
      <c r="O43" s="246">
        <f t="shared" si="1"/>
        <v>1997.25</v>
      </c>
      <c r="P43" s="247">
        <f>VLOOKUP(INT(O43),'Exhibit 7.3'!$A$1:$I$129,9)*N43+(1-N43)*VLOOKUP(INT(O43)+1,'Exhibit 7.3'!$A$1:$I$129,9)</f>
        <v>0.23625961459802292</v>
      </c>
      <c r="Q43" s="246"/>
    </row>
    <row r="44" spans="1:17">
      <c r="A44" s="242"/>
      <c r="B44" s="242"/>
      <c r="C44" s="242"/>
      <c r="D44" s="242"/>
      <c r="E44" s="242"/>
      <c r="F44" s="242"/>
      <c r="G44" s="242"/>
      <c r="H44" s="242"/>
      <c r="I44" s="242"/>
      <c r="J44" s="242"/>
      <c r="K44" s="242"/>
      <c r="L44" s="242"/>
      <c r="M44" s="242"/>
      <c r="N44" s="242">
        <f t="shared" si="0"/>
        <v>0.5</v>
      </c>
      <c r="O44" s="246">
        <f t="shared" si="1"/>
        <v>1997.5</v>
      </c>
      <c r="P44" s="247">
        <f>VLOOKUP(INT(O44),'Exhibit 7.3'!$A$1:$I$129,9)*N44+(1-N44)*VLOOKUP(INT(O44)+1,'Exhibit 7.3'!$A$1:$I$129,9)</f>
        <v>0.23915583202114699</v>
      </c>
      <c r="Q44" s="246"/>
    </row>
    <row r="45" spans="1:17">
      <c r="A45" s="242"/>
      <c r="B45" s="242"/>
      <c r="C45" s="242"/>
      <c r="D45" s="242"/>
      <c r="E45" s="242"/>
      <c r="F45" s="242"/>
      <c r="G45" s="242"/>
      <c r="H45" s="242"/>
      <c r="I45" s="242"/>
      <c r="J45" s="242"/>
      <c r="K45" s="242"/>
      <c r="L45" s="242"/>
      <c r="M45" s="242"/>
      <c r="N45" s="242">
        <f t="shared" si="0"/>
        <v>0.25</v>
      </c>
      <c r="O45" s="246">
        <f t="shared" si="1"/>
        <v>1997.75</v>
      </c>
      <c r="P45" s="247">
        <f>VLOOKUP(INT(O45),'Exhibit 7.3'!$A$1:$I$129,9)*N45+(1-N45)*VLOOKUP(INT(O45)+1,'Exhibit 7.3'!$A$1:$I$129,9)</f>
        <v>0.24205204944427106</v>
      </c>
      <c r="Q45" s="246"/>
    </row>
    <row r="46" spans="1:17">
      <c r="A46" s="242"/>
      <c r="B46" s="242"/>
      <c r="C46" s="242"/>
      <c r="D46" s="242"/>
      <c r="E46" s="242"/>
      <c r="F46" s="242"/>
      <c r="G46" s="242"/>
      <c r="H46" s="242"/>
      <c r="I46" s="242"/>
      <c r="J46" s="242"/>
      <c r="K46" s="242"/>
      <c r="L46" s="242"/>
      <c r="M46" s="242"/>
      <c r="N46" s="242">
        <f t="shared" si="0"/>
        <v>1</v>
      </c>
      <c r="O46" s="246">
        <f t="shared" si="1"/>
        <v>1998</v>
      </c>
      <c r="P46" s="247">
        <f>VLOOKUP(INT(O46),'Exhibit 7.3'!$A$1:$I$129,9)*N46+(1-N46)*VLOOKUP(INT(O46)+1,'Exhibit 7.3'!$A$1:$I$129,9)</f>
        <v>0.24494826686739518</v>
      </c>
      <c r="Q46" s="246"/>
    </row>
    <row r="47" spans="1:17">
      <c r="A47" s="242"/>
      <c r="B47" s="242"/>
      <c r="C47" s="242"/>
      <c r="D47" s="242"/>
      <c r="E47" s="242"/>
      <c r="F47" s="242"/>
      <c r="G47" s="242"/>
      <c r="H47" s="242"/>
      <c r="I47" s="242"/>
      <c r="J47" s="242"/>
      <c r="K47" s="242"/>
      <c r="L47" s="242"/>
      <c r="M47" s="242"/>
      <c r="N47" s="242">
        <f t="shared" si="0"/>
        <v>0.75</v>
      </c>
      <c r="O47" s="246">
        <f t="shared" si="1"/>
        <v>1998.25</v>
      </c>
      <c r="P47" s="247">
        <f>VLOOKUP(INT(O47),'Exhibit 7.3'!$A$1:$I$129,9)*N47+(1-N47)*VLOOKUP(INT(O47)+1,'Exhibit 7.3'!$A$1:$I$129,9)</f>
        <v>0.24485151728294205</v>
      </c>
      <c r="Q47" s="246"/>
    </row>
    <row r="48" spans="1:17">
      <c r="A48" s="242"/>
      <c r="B48" s="242"/>
      <c r="C48" s="242"/>
      <c r="D48" s="242"/>
      <c r="E48" s="242"/>
      <c r="F48" s="242"/>
      <c r="G48" s="242"/>
      <c r="H48" s="242"/>
      <c r="I48" s="242"/>
      <c r="J48" s="242"/>
      <c r="K48" s="242"/>
      <c r="L48" s="242"/>
      <c r="M48" s="242"/>
      <c r="N48" s="242">
        <f t="shared" si="0"/>
        <v>0.5</v>
      </c>
      <c r="O48" s="246">
        <f t="shared" si="1"/>
        <v>1998.5</v>
      </c>
      <c r="P48" s="247">
        <f>VLOOKUP(INT(O48),'Exhibit 7.3'!$A$1:$I$129,9)*N48+(1-N48)*VLOOKUP(INT(O48)+1,'Exhibit 7.3'!$A$1:$I$129,9)</f>
        <v>0.24475476769848892</v>
      </c>
      <c r="Q48" s="246"/>
    </row>
    <row r="49" spans="1:17">
      <c r="A49" s="242"/>
      <c r="B49" s="242"/>
      <c r="C49" s="242"/>
      <c r="D49" s="242"/>
      <c r="E49" s="242"/>
      <c r="F49" s="242"/>
      <c r="G49" s="242"/>
      <c r="H49" s="242"/>
      <c r="I49" s="242"/>
      <c r="J49" s="242"/>
      <c r="K49" s="242"/>
      <c r="L49" s="242"/>
      <c r="M49" s="242"/>
      <c r="N49" s="242">
        <f t="shared" si="0"/>
        <v>0.25</v>
      </c>
      <c r="O49" s="246">
        <f t="shared" si="1"/>
        <v>1998.75</v>
      </c>
      <c r="P49" s="247">
        <f>VLOOKUP(INT(O49),'Exhibit 7.3'!$A$1:$I$129,9)*N49+(1-N49)*VLOOKUP(INT(O49)+1,'Exhibit 7.3'!$A$1:$I$129,9)</f>
        <v>0.24465801811403581</v>
      </c>
      <c r="Q49" s="246"/>
    </row>
    <row r="50" spans="1:17">
      <c r="A50" s="242"/>
      <c r="B50" s="242"/>
      <c r="C50" s="242"/>
      <c r="D50" s="242"/>
      <c r="E50" s="242"/>
      <c r="F50" s="242"/>
      <c r="G50" s="242"/>
      <c r="H50" s="242"/>
      <c r="I50" s="242"/>
      <c r="J50" s="242"/>
      <c r="K50" s="242"/>
      <c r="L50" s="242"/>
      <c r="M50" s="242"/>
      <c r="N50" s="242">
        <f t="shared" si="0"/>
        <v>1</v>
      </c>
      <c r="O50" s="246">
        <f t="shared" si="1"/>
        <v>1999</v>
      </c>
      <c r="P50" s="247">
        <f>VLOOKUP(INT(O50),'Exhibit 7.3'!$A$1:$I$129,9)*N50+(1-N50)*VLOOKUP(INT(O50)+1,'Exhibit 7.3'!$A$1:$I$129,9)</f>
        <v>0.24456126852958268</v>
      </c>
      <c r="Q50" s="246"/>
    </row>
    <row r="51" spans="1:17">
      <c r="A51" s="242"/>
      <c r="B51" s="242"/>
      <c r="C51" s="242"/>
      <c r="D51" s="242"/>
      <c r="E51" s="242"/>
      <c r="F51" s="242"/>
      <c r="G51" s="242"/>
      <c r="H51" s="242"/>
      <c r="I51" s="242"/>
      <c r="J51" s="242"/>
      <c r="K51" s="242"/>
      <c r="L51" s="242"/>
      <c r="M51" s="242"/>
      <c r="N51" s="242">
        <f t="shared" si="0"/>
        <v>0.75</v>
      </c>
      <c r="O51" s="246">
        <f t="shared" si="1"/>
        <v>1999.25</v>
      </c>
      <c r="P51" s="247">
        <f>VLOOKUP(INT(O51),'Exhibit 7.3'!$A$1:$I$129,9)*N51+(1-N51)*VLOOKUP(INT(O51)+1,'Exhibit 7.3'!$A$1:$I$129,9)</f>
        <v>0.24774625956312135</v>
      </c>
      <c r="Q51" s="246"/>
    </row>
    <row r="52" spans="1:17">
      <c r="A52" s="242"/>
      <c r="B52" s="242"/>
      <c r="C52" s="242"/>
      <c r="D52" s="242"/>
      <c r="E52" s="242"/>
      <c r="F52" s="242"/>
      <c r="G52" s="242"/>
      <c r="H52" s="242"/>
      <c r="I52" s="242"/>
      <c r="J52" s="242"/>
      <c r="K52" s="242"/>
      <c r="L52" s="242"/>
      <c r="M52" s="242"/>
      <c r="N52" s="242">
        <f t="shared" si="0"/>
        <v>0.5</v>
      </c>
      <c r="O52" s="246">
        <f t="shared" si="1"/>
        <v>1999.5</v>
      </c>
      <c r="P52" s="247">
        <f>VLOOKUP(INT(O52),'Exhibit 7.3'!$A$1:$I$129,9)*N52+(1-N52)*VLOOKUP(INT(O52)+1,'Exhibit 7.3'!$A$1:$I$129,9)</f>
        <v>0.25093125059666005</v>
      </c>
      <c r="Q52" s="246"/>
    </row>
    <row r="53" spans="1:17">
      <c r="A53" s="242"/>
      <c r="B53" s="242"/>
      <c r="C53" s="242"/>
      <c r="D53" s="242"/>
      <c r="E53" s="242"/>
      <c r="F53" s="242"/>
      <c r="G53" s="242"/>
      <c r="H53" s="242"/>
      <c r="I53" s="242"/>
      <c r="J53" s="242"/>
      <c r="K53" s="242"/>
      <c r="L53" s="242"/>
      <c r="M53" s="242"/>
      <c r="N53" s="242">
        <f t="shared" si="0"/>
        <v>0.25</v>
      </c>
      <c r="O53" s="246">
        <f t="shared" si="1"/>
        <v>1999.75</v>
      </c>
      <c r="P53" s="247">
        <f>VLOOKUP(INT(O53),'Exhibit 7.3'!$A$1:$I$129,9)*N53+(1-N53)*VLOOKUP(INT(O53)+1,'Exhibit 7.3'!$A$1:$I$129,9)</f>
        <v>0.25411624163019869</v>
      </c>
      <c r="Q53" s="246"/>
    </row>
    <row r="54" spans="1:17">
      <c r="A54" s="242"/>
      <c r="B54" s="242"/>
      <c r="C54" s="242"/>
      <c r="D54" s="242"/>
      <c r="E54" s="242"/>
      <c r="F54" s="242"/>
      <c r="G54" s="242"/>
      <c r="H54" s="242"/>
      <c r="I54" s="242"/>
      <c r="J54" s="242"/>
      <c r="K54" s="242"/>
      <c r="L54" s="242"/>
      <c r="M54" s="242"/>
      <c r="N54" s="242">
        <f t="shared" si="0"/>
        <v>1</v>
      </c>
      <c r="O54" s="246">
        <f t="shared" si="1"/>
        <v>2000</v>
      </c>
      <c r="P54" s="247">
        <f>VLOOKUP(INT(O54),'Exhibit 7.3'!$A$1:$I$129,9)*N54+(1-N54)*VLOOKUP(INT(O54)+1,'Exhibit 7.3'!$A$1:$I$129,9)</f>
        <v>0.25730123266373739</v>
      </c>
      <c r="Q54" s="246"/>
    </row>
    <row r="55" spans="1:17">
      <c r="A55" s="242"/>
      <c r="B55" s="242"/>
      <c r="C55" s="242"/>
      <c r="D55" s="242"/>
      <c r="E55" s="242"/>
      <c r="F55" s="242"/>
      <c r="G55" s="242"/>
      <c r="H55" s="242"/>
      <c r="I55" s="242"/>
      <c r="J55" s="242"/>
      <c r="K55" s="242"/>
      <c r="L55" s="242"/>
      <c r="M55" s="242"/>
      <c r="N55" s="242">
        <f t="shared" si="0"/>
        <v>0.75</v>
      </c>
      <c r="O55" s="246">
        <f t="shared" si="1"/>
        <v>2000.25</v>
      </c>
      <c r="P55" s="247">
        <f>VLOOKUP(INT(O55),'Exhibit 7.3'!$A$1:$I$129,9)*N55+(1-N55)*VLOOKUP(INT(O55)+1,'Exhibit 7.3'!$A$1:$I$129,9)</f>
        <v>0.25411364793250091</v>
      </c>
      <c r="Q55" s="246"/>
    </row>
    <row r="56" spans="1:17">
      <c r="A56" s="242"/>
      <c r="B56" s="242"/>
      <c r="C56" s="242"/>
      <c r="D56" s="242"/>
      <c r="E56" s="242"/>
      <c r="F56" s="242"/>
      <c r="G56" s="242"/>
      <c r="H56" s="242"/>
      <c r="I56" s="242"/>
      <c r="J56" s="242"/>
      <c r="K56" s="242"/>
      <c r="L56" s="242"/>
      <c r="M56" s="242"/>
      <c r="N56" s="242">
        <f t="shared" si="0"/>
        <v>0.5</v>
      </c>
      <c r="O56" s="246">
        <f t="shared" si="1"/>
        <v>2000.5</v>
      </c>
      <c r="P56" s="247">
        <f>VLOOKUP(INT(O56),'Exhibit 7.3'!$A$1:$I$129,9)*N56+(1-N56)*VLOOKUP(INT(O56)+1,'Exhibit 7.3'!$A$1:$I$129,9)</f>
        <v>0.25092606320126448</v>
      </c>
      <c r="Q56" s="246"/>
    </row>
    <row r="57" spans="1:17">
      <c r="A57" s="242"/>
      <c r="B57" s="242"/>
      <c r="C57" s="242"/>
      <c r="D57" s="242"/>
      <c r="E57" s="242"/>
      <c r="F57" s="242"/>
      <c r="G57" s="242"/>
      <c r="H57" s="242"/>
      <c r="I57" s="242"/>
      <c r="J57" s="242"/>
      <c r="K57" s="242"/>
      <c r="L57" s="242"/>
      <c r="M57" s="242"/>
      <c r="N57" s="242">
        <f t="shared" si="0"/>
        <v>0.25</v>
      </c>
      <c r="O57" s="246">
        <f t="shared" si="1"/>
        <v>2000.75</v>
      </c>
      <c r="P57" s="247">
        <f>VLOOKUP(INT(O57),'Exhibit 7.3'!$A$1:$I$129,9)*N57+(1-N57)*VLOOKUP(INT(O57)+1,'Exhibit 7.3'!$A$1:$I$129,9)</f>
        <v>0.24773847847002803</v>
      </c>
      <c r="Q57" s="246"/>
    </row>
    <row r="58" spans="1:17">
      <c r="A58" s="242"/>
      <c r="B58" s="242"/>
      <c r="C58" s="242"/>
      <c r="D58" s="242"/>
      <c r="E58" s="242"/>
      <c r="F58" s="242"/>
      <c r="G58" s="242"/>
      <c r="H58" s="242"/>
      <c r="I58" s="242"/>
      <c r="J58" s="242"/>
      <c r="K58" s="242"/>
      <c r="L58" s="242"/>
      <c r="M58" s="242"/>
      <c r="N58" s="242">
        <f t="shared" si="0"/>
        <v>1</v>
      </c>
      <c r="O58" s="246">
        <f t="shared" si="1"/>
        <v>2001</v>
      </c>
      <c r="P58" s="247">
        <f>VLOOKUP(INT(O58),'Exhibit 7.3'!$A$1:$I$129,9)*N58+(1-N58)*VLOOKUP(INT(O58)+1,'Exhibit 7.3'!$A$1:$I$129,9)</f>
        <v>0.24455089373879157</v>
      </c>
      <c r="Q58" s="246"/>
    </row>
    <row r="59" spans="1:17">
      <c r="A59" s="242"/>
      <c r="B59" s="242"/>
      <c r="C59" s="242"/>
      <c r="D59" s="242"/>
      <c r="E59" s="242"/>
      <c r="F59" s="242"/>
      <c r="G59" s="242"/>
      <c r="H59" s="242"/>
      <c r="I59" s="242"/>
      <c r="J59" s="242"/>
      <c r="K59" s="242"/>
      <c r="L59" s="242"/>
      <c r="M59" s="242"/>
      <c r="N59" s="242">
        <f t="shared" ref="N59:N119" si="2">INT(O59)-O59+1</f>
        <v>0.75</v>
      </c>
      <c r="O59" s="246">
        <f t="shared" ref="O59:O94" si="3">+O58+0.25</f>
        <v>2001.25</v>
      </c>
      <c r="P59" s="247">
        <f>VLOOKUP(INT(O59),'Exhibit 7.3'!$A$1:$I$129,9)*N59+(1-N59)*VLOOKUP(INT(O59)+1,'Exhibit 7.3'!$A$1:$I$129,9)</f>
        <v>0.24752862048103125</v>
      </c>
      <c r="Q59" s="246"/>
    </row>
    <row r="60" spans="1:17">
      <c r="A60" s="242"/>
      <c r="B60" s="242"/>
      <c r="C60" s="242"/>
      <c r="D60" s="242"/>
      <c r="E60" s="242"/>
      <c r="F60" s="242"/>
      <c r="G60" s="242"/>
      <c r="H60" s="242"/>
      <c r="I60" s="242"/>
      <c r="J60" s="242"/>
      <c r="K60" s="242"/>
      <c r="L60" s="242"/>
      <c r="M60" s="242"/>
      <c r="N60" s="242">
        <f t="shared" si="2"/>
        <v>0.5</v>
      </c>
      <c r="O60" s="246">
        <f t="shared" si="3"/>
        <v>2001.5</v>
      </c>
      <c r="P60" s="247">
        <f>VLOOKUP(INT(O60),'Exhibit 7.3'!$A$1:$I$129,9)*N60+(1-N60)*VLOOKUP(INT(O60)+1,'Exhibit 7.3'!$A$1:$I$129,9)</f>
        <v>0.25050634722327092</v>
      </c>
      <c r="Q60" s="246"/>
    </row>
    <row r="61" spans="1:17">
      <c r="A61" s="242"/>
      <c r="B61" s="242"/>
      <c r="C61" s="242"/>
      <c r="D61" s="242"/>
      <c r="E61" s="242"/>
      <c r="F61" s="242"/>
      <c r="G61" s="242"/>
      <c r="H61" s="242"/>
      <c r="I61" s="242"/>
      <c r="J61" s="242"/>
      <c r="K61" s="242"/>
      <c r="L61" s="242"/>
      <c r="M61" s="242"/>
      <c r="N61" s="242">
        <f t="shared" si="2"/>
        <v>0.25</v>
      </c>
      <c r="O61" s="246">
        <f t="shared" si="3"/>
        <v>2001.75</v>
      </c>
      <c r="P61" s="247">
        <f>VLOOKUP(INT(O61),'Exhibit 7.3'!$A$1:$I$129,9)*N61+(1-N61)*VLOOKUP(INT(O61)+1,'Exhibit 7.3'!$A$1:$I$129,9)</f>
        <v>0.25348407396551065</v>
      </c>
      <c r="Q61" s="246"/>
    </row>
    <row r="62" spans="1:17">
      <c r="A62" s="242"/>
      <c r="B62" s="242"/>
      <c r="C62" s="242"/>
      <c r="D62" s="242"/>
      <c r="E62" s="242"/>
      <c r="F62" s="242"/>
      <c r="G62" s="242"/>
      <c r="H62" s="242"/>
      <c r="I62" s="242"/>
      <c r="J62" s="242"/>
      <c r="K62" s="242"/>
      <c r="L62" s="242"/>
      <c r="M62" s="242"/>
      <c r="N62" s="242">
        <f t="shared" si="2"/>
        <v>1</v>
      </c>
      <c r="O62" s="246">
        <f t="shared" si="3"/>
        <v>2002</v>
      </c>
      <c r="P62" s="247">
        <f>VLOOKUP(INT(O62),'Exhibit 7.3'!$A$1:$I$129,9)*N62+(1-N62)*VLOOKUP(INT(O62)+1,'Exhibit 7.3'!$A$1:$I$129,9)</f>
        <v>0.25646180070775032</v>
      </c>
      <c r="Q62" s="246"/>
    </row>
    <row r="63" spans="1:17">
      <c r="A63" s="242"/>
      <c r="B63" s="242"/>
      <c r="C63" s="242"/>
      <c r="D63" s="242"/>
      <c r="E63" s="242"/>
      <c r="F63" s="242"/>
      <c r="G63" s="242"/>
      <c r="H63" s="242"/>
      <c r="I63" s="242"/>
      <c r="J63" s="242"/>
      <c r="K63" s="242"/>
      <c r="L63" s="242"/>
      <c r="M63" s="242"/>
      <c r="N63" s="242">
        <f t="shared" si="2"/>
        <v>0.75</v>
      </c>
      <c r="O63" s="246">
        <f t="shared" si="3"/>
        <v>2002.25</v>
      </c>
      <c r="P63" s="247">
        <f>VLOOKUP(INT(O63),'Exhibit 7.3'!$A$1:$I$129,9)*N63+(1-N63)*VLOOKUP(INT(O63)+1,'Exhibit 7.3'!$A$1:$I$129,9)</f>
        <v>0.25332863057001342</v>
      </c>
      <c r="Q63" s="246"/>
    </row>
    <row r="64" spans="1:17">
      <c r="A64" s="242"/>
      <c r="B64" s="242"/>
      <c r="C64" s="242"/>
      <c r="D64" s="242"/>
      <c r="E64" s="242"/>
      <c r="F64" s="242"/>
      <c r="G64" s="242"/>
      <c r="H64" s="242"/>
      <c r="I64" s="242"/>
      <c r="J64" s="242"/>
      <c r="K64" s="242"/>
      <c r="L64" s="242"/>
      <c r="M64" s="242"/>
      <c r="N64" s="242">
        <f t="shared" si="2"/>
        <v>0.5</v>
      </c>
      <c r="O64" s="246">
        <f t="shared" si="3"/>
        <v>2002.5</v>
      </c>
      <c r="P64" s="247">
        <f>VLOOKUP(INT(O64),'Exhibit 7.3'!$A$1:$I$129,9)*N64+(1-N64)*VLOOKUP(INT(O64)+1,'Exhibit 7.3'!$A$1:$I$129,9)</f>
        <v>0.25019546043227647</v>
      </c>
      <c r="Q64" s="246"/>
    </row>
    <row r="65" spans="1:17">
      <c r="A65" s="242"/>
      <c r="B65" s="242"/>
      <c r="C65" s="242"/>
      <c r="D65" s="242"/>
      <c r="E65" s="242"/>
      <c r="F65" s="242"/>
      <c r="G65" s="242"/>
      <c r="H65" s="242"/>
      <c r="I65" s="242"/>
      <c r="J65" s="242"/>
      <c r="K65" s="242"/>
      <c r="L65" s="242"/>
      <c r="M65" s="242"/>
      <c r="N65" s="242">
        <f t="shared" si="2"/>
        <v>0.25</v>
      </c>
      <c r="O65" s="246">
        <f t="shared" si="3"/>
        <v>2002.75</v>
      </c>
      <c r="P65" s="247">
        <f>VLOOKUP(INT(O65),'Exhibit 7.3'!$A$1:$I$129,9)*N65+(1-N65)*VLOOKUP(INT(O65)+1,'Exhibit 7.3'!$A$1:$I$129,9)</f>
        <v>0.24706229029453958</v>
      </c>
      <c r="Q65" s="246"/>
    </row>
    <row r="66" spans="1:17">
      <c r="A66" s="242"/>
      <c r="B66" s="242"/>
      <c r="C66" s="242"/>
      <c r="D66" s="242"/>
      <c r="E66" s="242"/>
      <c r="F66" s="242"/>
      <c r="G66" s="242"/>
      <c r="H66" s="242"/>
      <c r="I66" s="242"/>
      <c r="J66" s="242"/>
      <c r="K66" s="242"/>
      <c r="L66" s="242"/>
      <c r="M66" s="242"/>
      <c r="N66" s="242">
        <f t="shared" si="2"/>
        <v>1</v>
      </c>
      <c r="O66" s="246">
        <f t="shared" si="3"/>
        <v>2003</v>
      </c>
      <c r="P66" s="247">
        <f>VLOOKUP(INT(O66),'Exhibit 7.3'!$A$1:$I$129,9)*N66+(1-N66)*VLOOKUP(INT(O66)+1,'Exhibit 7.3'!$A$1:$I$129,9)</f>
        <v>0.24392912015680268</v>
      </c>
      <c r="Q66" s="246"/>
    </row>
    <row r="67" spans="1:17">
      <c r="A67" s="242"/>
      <c r="B67" s="242"/>
      <c r="C67" s="242"/>
      <c r="D67" s="242"/>
      <c r="E67" s="242"/>
      <c r="F67" s="242"/>
      <c r="G67" s="242"/>
      <c r="H67" s="242"/>
      <c r="I67" s="242"/>
      <c r="J67" s="242"/>
      <c r="K67" s="242"/>
      <c r="L67" s="242"/>
      <c r="M67" s="242"/>
      <c r="N67" s="242">
        <f t="shared" si="2"/>
        <v>0.75</v>
      </c>
      <c r="O67" s="246">
        <f t="shared" si="3"/>
        <v>2003.25</v>
      </c>
      <c r="P67" s="247">
        <f>VLOOKUP(INT(O67),'Exhibit 7.3'!$A$1:$I$129,9)*N67+(1-N67)*VLOOKUP(INT(O67)+1,'Exhibit 7.3'!$A$1:$I$129,9)</f>
        <v>0.25163322351278244</v>
      </c>
      <c r="Q67" s="246"/>
    </row>
    <row r="68" spans="1:17">
      <c r="A68" s="242"/>
      <c r="B68" s="242"/>
      <c r="C68" s="242"/>
      <c r="D68" s="242"/>
      <c r="E68" s="242"/>
      <c r="F68" s="242"/>
      <c r="G68" s="242"/>
      <c r="H68" s="242"/>
      <c r="I68" s="242"/>
      <c r="J68" s="242"/>
      <c r="K68" s="242"/>
      <c r="L68" s="242"/>
      <c r="M68" s="242"/>
      <c r="N68" s="242">
        <f t="shared" si="2"/>
        <v>0.5</v>
      </c>
      <c r="O68" s="246">
        <f t="shared" si="3"/>
        <v>2003.5</v>
      </c>
      <c r="P68" s="247">
        <f>VLOOKUP(INT(O68),'Exhibit 7.3'!$A$1:$I$129,9)*N68+(1-N68)*VLOOKUP(INT(O68)+1,'Exhibit 7.3'!$A$1:$I$129,9)</f>
        <v>0.25933732686876221</v>
      </c>
      <c r="Q68" s="246"/>
    </row>
    <row r="69" spans="1:17">
      <c r="A69" s="242"/>
      <c r="B69" s="242"/>
      <c r="C69" s="242"/>
      <c r="D69" s="242"/>
      <c r="E69" s="242"/>
      <c r="F69" s="242"/>
      <c r="G69" s="242"/>
      <c r="H69" s="242"/>
      <c r="I69" s="242"/>
      <c r="J69" s="242"/>
      <c r="K69" s="242"/>
      <c r="L69" s="242"/>
      <c r="M69" s="242"/>
      <c r="N69" s="242">
        <f t="shared" si="2"/>
        <v>0.25</v>
      </c>
      <c r="O69" s="246">
        <f t="shared" si="3"/>
        <v>2003.75</v>
      </c>
      <c r="P69" s="247">
        <f>VLOOKUP(INT(O69),'Exhibit 7.3'!$A$1:$I$129,9)*N69+(1-N69)*VLOOKUP(INT(O69)+1,'Exhibit 7.3'!$A$1:$I$129,9)</f>
        <v>0.26704143022474203</v>
      </c>
      <c r="Q69" s="246"/>
    </row>
    <row r="70" spans="1:17">
      <c r="A70" s="242"/>
      <c r="B70" s="242"/>
      <c r="C70" s="242"/>
      <c r="D70" s="242"/>
      <c r="E70" s="242"/>
      <c r="F70" s="242"/>
      <c r="G70" s="242"/>
      <c r="H70" s="242"/>
      <c r="I70" s="242"/>
      <c r="J70" s="242"/>
      <c r="K70" s="242"/>
      <c r="L70" s="242"/>
      <c r="M70" s="242"/>
      <c r="N70" s="242">
        <f t="shared" si="2"/>
        <v>1</v>
      </c>
      <c r="O70" s="246">
        <f t="shared" si="3"/>
        <v>2004</v>
      </c>
      <c r="P70" s="247">
        <f>VLOOKUP(INT(O70),'Exhibit 7.3'!$A$1:$I$129,9)*N70+(1-N70)*VLOOKUP(INT(O70)+1,'Exhibit 7.3'!$A$1:$I$129,9)</f>
        <v>0.27474553358072179</v>
      </c>
      <c r="Q70" s="246"/>
    </row>
    <row r="71" spans="1:17">
      <c r="A71" s="242"/>
      <c r="B71" s="242"/>
      <c r="C71" s="242"/>
      <c r="D71" s="242"/>
      <c r="E71" s="242"/>
      <c r="F71" s="242"/>
      <c r="G71" s="242"/>
      <c r="H71" s="242"/>
      <c r="I71" s="242"/>
      <c r="J71" s="242"/>
      <c r="K71" s="242"/>
      <c r="L71" s="242"/>
      <c r="M71" s="242"/>
      <c r="N71" s="242">
        <f t="shared" si="2"/>
        <v>0.75</v>
      </c>
      <c r="O71" s="246">
        <f t="shared" si="3"/>
        <v>2004.25</v>
      </c>
      <c r="P71" s="247">
        <f>VLOOKUP(INT(O71),'Exhibit 7.3'!$A$1:$I$129,9)*N71+(1-N71)*VLOOKUP(INT(O71)+1,'Exhibit 7.3'!$A$1:$I$129,9)</f>
        <v>0.27670258509760709</v>
      </c>
      <c r="Q71" s="246"/>
    </row>
    <row r="72" spans="1:17">
      <c r="A72" s="242"/>
      <c r="B72" s="242"/>
      <c r="C72" s="242"/>
      <c r="D72" s="242"/>
      <c r="E72" s="242"/>
      <c r="F72" s="242"/>
      <c r="G72" s="242"/>
      <c r="H72" s="242"/>
      <c r="I72" s="242"/>
      <c r="J72" s="242"/>
      <c r="K72" s="242"/>
      <c r="L72" s="242"/>
      <c r="M72" s="242"/>
      <c r="N72" s="242">
        <f t="shared" si="2"/>
        <v>0.5</v>
      </c>
      <c r="O72" s="246">
        <f t="shared" si="3"/>
        <v>2004.5</v>
      </c>
      <c r="P72" s="247">
        <f>VLOOKUP(INT(O72),'Exhibit 7.3'!$A$1:$I$129,9)*N72+(1-N72)*VLOOKUP(INT(O72)+1,'Exhibit 7.3'!$A$1:$I$129,9)</f>
        <v>0.27865963661449245</v>
      </c>
      <c r="Q72" s="246"/>
    </row>
    <row r="73" spans="1:17">
      <c r="A73" s="242"/>
      <c r="B73" s="242"/>
      <c r="C73" s="242"/>
      <c r="D73" s="242"/>
      <c r="E73" s="242"/>
      <c r="F73" s="242"/>
      <c r="G73" s="242"/>
      <c r="H73" s="242"/>
      <c r="I73" s="242"/>
      <c r="J73" s="242"/>
      <c r="K73" s="242"/>
      <c r="L73" s="242"/>
      <c r="M73" s="242"/>
      <c r="N73" s="242">
        <f t="shared" si="2"/>
        <v>0.25</v>
      </c>
      <c r="O73" s="246">
        <f t="shared" si="3"/>
        <v>2004.75</v>
      </c>
      <c r="P73" s="247">
        <f>VLOOKUP(INT(O73),'Exhibit 7.3'!$A$1:$I$129,9)*N73+(1-N73)*VLOOKUP(INT(O73)+1,'Exhibit 7.3'!$A$1:$I$129,9)</f>
        <v>0.28061668813137775</v>
      </c>
      <c r="Q73" s="246"/>
    </row>
    <row r="74" spans="1:17">
      <c r="A74" s="242"/>
      <c r="B74" s="242"/>
      <c r="C74" s="242"/>
      <c r="D74" s="242"/>
      <c r="E74" s="242"/>
      <c r="F74" s="242"/>
      <c r="G74" s="242"/>
      <c r="H74" s="242"/>
      <c r="I74" s="242"/>
      <c r="J74" s="242"/>
      <c r="K74" s="242"/>
      <c r="L74" s="242"/>
      <c r="M74" s="242"/>
      <c r="N74" s="242">
        <f t="shared" si="2"/>
        <v>1</v>
      </c>
      <c r="O74" s="246">
        <f t="shared" si="3"/>
        <v>2005</v>
      </c>
      <c r="P74" s="247">
        <f>VLOOKUP(INT(O74),'Exhibit 7.3'!$A$1:$I$129,9)*N74+(1-N74)*VLOOKUP(INT(O74)+1,'Exhibit 7.3'!$A$1:$I$129,9)</f>
        <v>0.28257373964826304</v>
      </c>
      <c r="Q74" s="246"/>
    </row>
    <row r="75" spans="1:17">
      <c r="A75" s="242"/>
      <c r="B75" s="242"/>
      <c r="C75" s="242"/>
      <c r="D75" s="242"/>
      <c r="E75" s="242"/>
      <c r="F75" s="242"/>
      <c r="G75" s="242"/>
      <c r="H75" s="242"/>
      <c r="I75" s="242"/>
      <c r="J75" s="242"/>
      <c r="K75" s="242"/>
      <c r="L75" s="242"/>
      <c r="M75" s="242"/>
      <c r="N75" s="242">
        <f t="shared" si="2"/>
        <v>0.75</v>
      </c>
      <c r="O75" s="246">
        <f t="shared" si="3"/>
        <v>2005.25</v>
      </c>
      <c r="P75" s="247">
        <f>VLOOKUP(INT(O75),'Exhibit 7.3'!$A$1:$I$129,9)*N75+(1-N75)*VLOOKUP(INT(O75)+1,'Exhibit 7.3'!$A$1:$I$129,9)</f>
        <v>0.28674915181719379</v>
      </c>
      <c r="Q75" s="246"/>
    </row>
    <row r="76" spans="1:17">
      <c r="A76" s="242"/>
      <c r="B76" s="242"/>
      <c r="C76" s="242"/>
      <c r="D76" s="242"/>
      <c r="E76" s="242"/>
      <c r="F76" s="242"/>
      <c r="G76" s="242"/>
      <c r="H76" s="242"/>
      <c r="I76" s="242"/>
      <c r="J76" s="242"/>
      <c r="K76" s="242"/>
      <c r="L76" s="242"/>
      <c r="M76" s="242"/>
      <c r="N76" s="242">
        <f t="shared" si="2"/>
        <v>0.5</v>
      </c>
      <c r="O76" s="246">
        <f t="shared" si="3"/>
        <v>2005.5</v>
      </c>
      <c r="P76" s="247">
        <f>VLOOKUP(INT(O76),'Exhibit 7.3'!$A$1:$I$129,9)*N76+(1-N76)*VLOOKUP(INT(O76)+1,'Exhibit 7.3'!$A$1:$I$129,9)</f>
        <v>0.29092456398612454</v>
      </c>
      <c r="Q76" s="246"/>
    </row>
    <row r="77" spans="1:17">
      <c r="A77" s="242"/>
      <c r="B77" s="242"/>
      <c r="C77" s="242"/>
      <c r="D77" s="242"/>
      <c r="E77" s="242"/>
      <c r="F77" s="242"/>
      <c r="G77" s="242"/>
      <c r="H77" s="242"/>
      <c r="I77" s="242"/>
      <c r="J77" s="242"/>
      <c r="K77" s="242"/>
      <c r="L77" s="242"/>
      <c r="M77" s="242"/>
      <c r="N77" s="242">
        <f t="shared" si="2"/>
        <v>0.25</v>
      </c>
      <c r="O77" s="246">
        <f t="shared" si="3"/>
        <v>2005.75</v>
      </c>
      <c r="P77" s="247">
        <f>VLOOKUP(INT(O77),'Exhibit 7.3'!$A$1:$I$129,9)*N77+(1-N77)*VLOOKUP(INT(O77)+1,'Exhibit 7.3'!$A$1:$I$129,9)</f>
        <v>0.29509997615505523</v>
      </c>
      <c r="Q77" s="246"/>
    </row>
    <row r="78" spans="1:17">
      <c r="A78" s="242"/>
      <c r="B78" s="242"/>
      <c r="C78" s="242"/>
      <c r="D78" s="242"/>
      <c r="E78" s="242"/>
      <c r="F78" s="242"/>
      <c r="G78" s="242"/>
      <c r="H78" s="242"/>
      <c r="I78" s="242"/>
      <c r="J78" s="242"/>
      <c r="K78" s="242"/>
      <c r="L78" s="242"/>
      <c r="M78" s="242"/>
      <c r="N78" s="242">
        <f t="shared" si="2"/>
        <v>1</v>
      </c>
      <c r="O78" s="246">
        <f t="shared" si="3"/>
        <v>2006</v>
      </c>
      <c r="P78" s="247">
        <f>VLOOKUP(INT(O78),'Exhibit 7.3'!$A$1:$I$129,9)*N78+(1-N78)*VLOOKUP(INT(O78)+1,'Exhibit 7.3'!$A$1:$I$129,9)</f>
        <v>0.29927538832398598</v>
      </c>
      <c r="Q78" s="246"/>
    </row>
    <row r="79" spans="1:17">
      <c r="A79" s="242"/>
      <c r="B79" s="242"/>
      <c r="C79" s="242"/>
      <c r="D79" s="242"/>
      <c r="E79" s="242"/>
      <c r="F79" s="242"/>
      <c r="G79" s="242"/>
      <c r="H79" s="242"/>
      <c r="I79" s="242"/>
      <c r="J79" s="242"/>
      <c r="K79" s="242"/>
      <c r="L79" s="242"/>
      <c r="M79" s="242"/>
      <c r="N79" s="242">
        <f t="shared" si="2"/>
        <v>0.75</v>
      </c>
      <c r="O79" s="246">
        <f t="shared" si="3"/>
        <v>2006.25</v>
      </c>
      <c r="P79" s="247">
        <f>VLOOKUP(INT(O79),'Exhibit 7.3'!$A$1:$I$129,9)*N79+(1-N79)*VLOOKUP(INT(O79)+1,'Exhibit 7.3'!$A$1:$I$129,9)</f>
        <v>0.30522368563193825</v>
      </c>
      <c r="Q79" s="246"/>
    </row>
    <row r="80" spans="1:17">
      <c r="A80" s="242"/>
      <c r="B80" s="242"/>
      <c r="C80" s="242"/>
      <c r="D80" s="242"/>
      <c r="E80" s="242"/>
      <c r="F80" s="242"/>
      <c r="G80" s="242"/>
      <c r="H80" s="242"/>
      <c r="I80" s="242"/>
      <c r="J80" s="242"/>
      <c r="K80" s="242"/>
      <c r="L80" s="242"/>
      <c r="M80" s="242"/>
      <c r="N80" s="242">
        <f t="shared" si="2"/>
        <v>0.5</v>
      </c>
      <c r="O80" s="246">
        <f t="shared" si="3"/>
        <v>2006.5</v>
      </c>
      <c r="P80" s="247">
        <f>VLOOKUP(INT(O80),'Exhibit 7.3'!$A$1:$I$129,9)*N80+(1-N80)*VLOOKUP(INT(O80)+1,'Exhibit 7.3'!$A$1:$I$129,9)</f>
        <v>0.31117198293989046</v>
      </c>
      <c r="Q80" s="246"/>
    </row>
    <row r="81" spans="1:17">
      <c r="A81" s="242"/>
      <c r="B81" s="242"/>
      <c r="C81" s="242"/>
      <c r="D81" s="242"/>
      <c r="E81" s="242"/>
      <c r="F81" s="242"/>
      <c r="G81" s="242"/>
      <c r="H81" s="242"/>
      <c r="I81" s="242"/>
      <c r="J81" s="242"/>
      <c r="K81" s="242"/>
      <c r="L81" s="242"/>
      <c r="M81" s="242"/>
      <c r="N81" s="242">
        <f t="shared" si="2"/>
        <v>0.25</v>
      </c>
      <c r="O81" s="246">
        <f t="shared" si="3"/>
        <v>2006.75</v>
      </c>
      <c r="P81" s="247">
        <f>VLOOKUP(INT(O81),'Exhibit 7.3'!$A$1:$I$129,9)*N81+(1-N81)*VLOOKUP(INT(O81)+1,'Exhibit 7.3'!$A$1:$I$129,9)</f>
        <v>0.31712028024784272</v>
      </c>
      <c r="Q81" s="246"/>
    </row>
    <row r="82" spans="1:17">
      <c r="A82" s="242"/>
      <c r="B82" s="242"/>
      <c r="C82" s="242"/>
      <c r="D82" s="242"/>
      <c r="E82" s="242"/>
      <c r="F82" s="242"/>
      <c r="G82" s="242"/>
      <c r="H82" s="242"/>
      <c r="I82" s="242"/>
      <c r="J82" s="242"/>
      <c r="K82" s="242"/>
      <c r="L82" s="242"/>
      <c r="M82" s="242"/>
      <c r="N82" s="242">
        <f t="shared" si="2"/>
        <v>1</v>
      </c>
      <c r="O82" s="246">
        <f t="shared" si="3"/>
        <v>2007</v>
      </c>
      <c r="P82" s="247">
        <f>VLOOKUP(INT(O82),'Exhibit 7.3'!$A$1:$I$129,9)*N82+(1-N82)*VLOOKUP(INT(O82)+1,'Exhibit 7.3'!$A$1:$I$129,9)</f>
        <v>0.32306857755579499</v>
      </c>
      <c r="Q82" s="246"/>
    </row>
    <row r="83" spans="1:17">
      <c r="A83" s="242"/>
      <c r="B83" s="242"/>
      <c r="C83" s="242"/>
      <c r="D83" s="242"/>
      <c r="E83" s="242"/>
      <c r="F83" s="242"/>
      <c r="G83" s="242"/>
      <c r="H83" s="242"/>
      <c r="I83" s="242"/>
      <c r="J83" s="242"/>
      <c r="K83" s="242"/>
      <c r="L83" s="242"/>
      <c r="M83" s="242"/>
      <c r="N83" s="242">
        <f t="shared" si="2"/>
        <v>0.75</v>
      </c>
      <c r="O83" s="246">
        <f t="shared" si="3"/>
        <v>2007.25</v>
      </c>
      <c r="P83" s="247">
        <f>VLOOKUP(INT(O83),'Exhibit 7.3'!$A$1:$I$129,9)*N83+(1-N83)*VLOOKUP(INT(O83)+1,'Exhibit 7.3'!$A$1:$I$129,9)</f>
        <v>0.32519259207725376</v>
      </c>
      <c r="Q83" s="246"/>
    </row>
    <row r="84" spans="1:17">
      <c r="A84" s="242"/>
      <c r="B84" s="242"/>
      <c r="C84" s="242"/>
      <c r="D84" s="242"/>
      <c r="E84" s="242"/>
      <c r="F84" s="242"/>
      <c r="G84" s="242"/>
      <c r="H84" s="242"/>
      <c r="I84" s="242"/>
      <c r="J84" s="242"/>
      <c r="K84" s="242"/>
      <c r="L84" s="242"/>
      <c r="M84" s="242"/>
      <c r="N84" s="242">
        <f t="shared" si="2"/>
        <v>0.5</v>
      </c>
      <c r="O84" s="246">
        <f t="shared" si="3"/>
        <v>2007.5</v>
      </c>
      <c r="P84" s="247">
        <f>VLOOKUP(INT(O84),'Exhibit 7.3'!$A$1:$I$129,9)*N84+(1-N84)*VLOOKUP(INT(O84)+1,'Exhibit 7.3'!$A$1:$I$129,9)</f>
        <v>0.32731660659871253</v>
      </c>
      <c r="Q84" s="246"/>
    </row>
    <row r="85" spans="1:17">
      <c r="A85" s="242"/>
      <c r="B85" s="242"/>
      <c r="C85" s="242"/>
      <c r="D85" s="242"/>
      <c r="E85" s="242"/>
      <c r="F85" s="242"/>
      <c r="G85" s="242"/>
      <c r="H85" s="242"/>
      <c r="I85" s="242"/>
      <c r="J85" s="242"/>
      <c r="K85" s="242"/>
      <c r="L85" s="242"/>
      <c r="M85" s="242"/>
      <c r="N85" s="242">
        <f t="shared" si="2"/>
        <v>0.25</v>
      </c>
      <c r="O85" s="246">
        <f t="shared" si="3"/>
        <v>2007.75</v>
      </c>
      <c r="P85" s="247">
        <f>VLOOKUP(INT(O85),'Exhibit 7.3'!$A$1:$I$129,9)*N85+(1-N85)*VLOOKUP(INT(O85)+1,'Exhibit 7.3'!$A$1:$I$129,9)</f>
        <v>0.32944062112017131</v>
      </c>
      <c r="Q85" s="246"/>
    </row>
    <row r="86" spans="1:17">
      <c r="A86" s="242"/>
      <c r="B86" s="242"/>
      <c r="C86" s="242"/>
      <c r="D86" s="242"/>
      <c r="E86" s="242"/>
      <c r="F86" s="242"/>
      <c r="G86" s="242"/>
      <c r="H86" s="242"/>
      <c r="I86" s="242"/>
      <c r="J86" s="242"/>
      <c r="K86" s="242"/>
      <c r="L86" s="242"/>
      <c r="M86" s="242"/>
      <c r="N86" s="242">
        <f t="shared" si="2"/>
        <v>1</v>
      </c>
      <c r="O86" s="246">
        <f t="shared" si="3"/>
        <v>2008</v>
      </c>
      <c r="P86" s="247">
        <f>VLOOKUP(INT(O86),'Exhibit 7.3'!$A$1:$I$129,9)*N86+(1-N86)*VLOOKUP(INT(O86)+1,'Exhibit 7.3'!$A$1:$I$129,9)</f>
        <v>0.33156463564163008</v>
      </c>
      <c r="Q86" s="246"/>
    </row>
    <row r="87" spans="1:17">
      <c r="A87" s="242"/>
      <c r="B87" s="242"/>
      <c r="C87" s="242"/>
      <c r="D87" s="242"/>
      <c r="E87" s="242"/>
      <c r="F87" s="242"/>
      <c r="G87" s="242"/>
      <c r="H87" s="242"/>
      <c r="I87" s="242"/>
      <c r="J87" s="242"/>
      <c r="K87" s="242"/>
      <c r="L87" s="242"/>
      <c r="M87" s="242"/>
      <c r="N87" s="242">
        <f t="shared" si="2"/>
        <v>0.75</v>
      </c>
      <c r="O87" s="246">
        <f t="shared" si="3"/>
        <v>2008.25</v>
      </c>
      <c r="P87" s="247">
        <f>VLOOKUP(INT(O87),'Exhibit 7.3'!$A$1:$I$129,9)*N87+(1-N87)*VLOOKUP(INT(O87)+1,'Exhibit 7.3'!$A$1:$I$129,9)</f>
        <v>0.33821358403486679</v>
      </c>
      <c r="Q87" s="246"/>
    </row>
    <row r="88" spans="1:17">
      <c r="A88" s="242"/>
      <c r="B88" s="242"/>
      <c r="C88" s="242"/>
      <c r="D88" s="242"/>
      <c r="E88" s="242"/>
      <c r="F88" s="242"/>
      <c r="G88" s="242"/>
      <c r="H88" s="242"/>
      <c r="I88" s="242"/>
      <c r="J88" s="242"/>
      <c r="K88" s="242"/>
      <c r="L88" s="242"/>
      <c r="M88" s="242"/>
      <c r="N88" s="242">
        <f t="shared" si="2"/>
        <v>0.5</v>
      </c>
      <c r="O88" s="246">
        <f t="shared" si="3"/>
        <v>2008.5</v>
      </c>
      <c r="P88" s="247">
        <f>VLOOKUP(INT(O88),'Exhibit 7.3'!$A$1:$I$129,9)*N88+(1-N88)*VLOOKUP(INT(O88)+1,'Exhibit 7.3'!$A$1:$I$129,9)</f>
        <v>0.3448625324281035</v>
      </c>
      <c r="Q88" s="246"/>
    </row>
    <row r="89" spans="1:17">
      <c r="A89" s="242"/>
      <c r="B89" s="242"/>
      <c r="C89" s="242"/>
      <c r="D89" s="242"/>
      <c r="E89" s="242"/>
      <c r="F89" s="242"/>
      <c r="G89" s="242"/>
      <c r="H89" s="242"/>
      <c r="I89" s="242"/>
      <c r="J89" s="242"/>
      <c r="K89" s="242"/>
      <c r="L89" s="242"/>
      <c r="M89" s="242"/>
      <c r="N89" s="242">
        <f t="shared" si="2"/>
        <v>0.25</v>
      </c>
      <c r="O89" s="246">
        <f t="shared" si="3"/>
        <v>2008.75</v>
      </c>
      <c r="P89" s="247">
        <f>VLOOKUP(INT(O89),'Exhibit 7.3'!$A$1:$I$129,9)*N89+(1-N89)*VLOOKUP(INT(O89)+1,'Exhibit 7.3'!$A$1:$I$129,9)</f>
        <v>0.35151148082134021</v>
      </c>
      <c r="Q89" s="246"/>
    </row>
    <row r="90" spans="1:17">
      <c r="A90" s="242"/>
      <c r="B90" s="242"/>
      <c r="C90" s="242"/>
      <c r="D90" s="242"/>
      <c r="E90" s="242"/>
      <c r="F90" s="242"/>
      <c r="G90" s="242"/>
      <c r="H90" s="242"/>
      <c r="I90" s="242"/>
      <c r="J90" s="242"/>
      <c r="K90" s="242"/>
      <c r="L90" s="242"/>
      <c r="M90" s="242"/>
      <c r="N90" s="242">
        <f t="shared" si="2"/>
        <v>1</v>
      </c>
      <c r="O90" s="246">
        <f t="shared" si="3"/>
        <v>2009</v>
      </c>
      <c r="P90" s="247">
        <f>VLOOKUP(INT(O90),'Exhibit 7.3'!$A$1:$I$129,9)*N90+(1-N90)*VLOOKUP(INT(O90)+1,'Exhibit 7.3'!$A$1:$I$129,9)</f>
        <v>0.35816042921457686</v>
      </c>
      <c r="Q90" s="246"/>
    </row>
    <row r="91" spans="1:17">
      <c r="A91" s="242"/>
      <c r="B91" s="242"/>
      <c r="C91" s="242"/>
      <c r="D91" s="242"/>
      <c r="E91" s="242"/>
      <c r="F91" s="242"/>
      <c r="G91" s="242"/>
      <c r="H91" s="242"/>
      <c r="I91" s="242"/>
      <c r="J91" s="242"/>
      <c r="K91" s="242"/>
      <c r="L91" s="242"/>
      <c r="M91" s="242"/>
      <c r="N91" s="242">
        <f t="shared" si="2"/>
        <v>0.75</v>
      </c>
      <c r="O91" s="246">
        <f t="shared" si="3"/>
        <v>2009.25</v>
      </c>
      <c r="P91" s="247">
        <f>VLOOKUP(INT(O91),'Exhibit 7.3'!$A$1:$I$129,9)*N91+(1-N91)*VLOOKUP(INT(O91)+1,'Exhibit 7.3'!$A$1:$I$129,9)</f>
        <v>0.36515816125723072</v>
      </c>
      <c r="Q91" s="246"/>
    </row>
    <row r="92" spans="1:17">
      <c r="A92" s="242"/>
      <c r="B92" s="242"/>
      <c r="C92" s="242"/>
      <c r="D92" s="242"/>
      <c r="E92" s="242"/>
      <c r="F92" s="242"/>
      <c r="G92" s="242"/>
      <c r="H92" s="242"/>
      <c r="I92" s="242"/>
      <c r="J92" s="242"/>
      <c r="K92" s="242"/>
      <c r="L92" s="242"/>
      <c r="M92" s="242"/>
      <c r="N92" s="242">
        <f t="shared" si="2"/>
        <v>0.5</v>
      </c>
      <c r="O92" s="246">
        <f t="shared" si="3"/>
        <v>2009.5</v>
      </c>
      <c r="P92" s="247">
        <f>VLOOKUP(INT(O92),'Exhibit 7.3'!$A$1:$I$129,9)*N92+(1-N92)*VLOOKUP(INT(O92)+1,'Exhibit 7.3'!$A$1:$I$129,9)</f>
        <v>0.37215589329988458</v>
      </c>
      <c r="Q92" s="246"/>
    </row>
    <row r="93" spans="1:17">
      <c r="A93" s="242"/>
      <c r="B93" s="242"/>
      <c r="C93" s="242"/>
      <c r="D93" s="242"/>
      <c r="E93" s="242"/>
      <c r="F93" s="242"/>
      <c r="G93" s="242"/>
      <c r="H93" s="242"/>
      <c r="I93" s="242"/>
      <c r="J93" s="242"/>
      <c r="K93" s="242"/>
      <c r="L93" s="242"/>
      <c r="M93" s="242"/>
      <c r="N93" s="242">
        <f t="shared" si="2"/>
        <v>0.25</v>
      </c>
      <c r="O93" s="246">
        <f t="shared" si="3"/>
        <v>2009.75</v>
      </c>
      <c r="P93" s="247">
        <f>VLOOKUP(INT(O93),'Exhibit 7.3'!$A$1:$I$129,9)*N93+(1-N93)*VLOOKUP(INT(O93)+1,'Exhibit 7.3'!$A$1:$I$129,9)</f>
        <v>0.37915362534253844</v>
      </c>
      <c r="Q93" s="246"/>
    </row>
    <row r="94" spans="1:17">
      <c r="A94" s="242"/>
      <c r="B94" s="242"/>
      <c r="C94" s="242"/>
      <c r="D94" s="242"/>
      <c r="E94" s="242"/>
      <c r="F94" s="242"/>
      <c r="G94" s="242"/>
      <c r="H94" s="242"/>
      <c r="I94" s="242"/>
      <c r="J94" s="242"/>
      <c r="K94" s="242"/>
      <c r="L94" s="242"/>
      <c r="M94" s="242"/>
      <c r="N94" s="242">
        <f t="shared" si="2"/>
        <v>1</v>
      </c>
      <c r="O94" s="246">
        <f t="shared" si="3"/>
        <v>2010</v>
      </c>
      <c r="P94" s="247">
        <f>VLOOKUP(INT(O94),'Exhibit 7.3'!$A$1:$I$129,9)*N94+(1-N94)*VLOOKUP(INT(O94)+1,'Exhibit 7.3'!$A$1:$I$129,9)</f>
        <v>0.3861513573851923</v>
      </c>
      <c r="Q94" s="246"/>
    </row>
    <row r="95" spans="1:17">
      <c r="A95" s="242"/>
      <c r="B95" s="242"/>
      <c r="C95" s="242"/>
      <c r="D95" s="242"/>
      <c r="E95" s="242"/>
      <c r="F95" s="242"/>
      <c r="G95" s="242"/>
      <c r="H95" s="242"/>
      <c r="I95" s="242"/>
      <c r="J95" s="242"/>
      <c r="K95" s="242"/>
      <c r="L95" s="242"/>
      <c r="M95" s="242"/>
      <c r="N95" s="242">
        <f t="shared" si="2"/>
        <v>1</v>
      </c>
      <c r="O95" s="246"/>
      <c r="P95" s="247"/>
      <c r="Q95" s="246"/>
    </row>
    <row r="96" spans="1:17">
      <c r="A96" s="242"/>
      <c r="B96" s="242"/>
      <c r="C96" s="242"/>
      <c r="D96" s="242"/>
      <c r="E96" s="242"/>
      <c r="F96" s="242"/>
      <c r="G96" s="242"/>
      <c r="H96" s="242"/>
      <c r="I96" s="242"/>
      <c r="J96" s="242"/>
      <c r="K96" s="242"/>
      <c r="L96" s="242"/>
      <c r="M96" s="242"/>
      <c r="N96" s="242">
        <f t="shared" si="2"/>
        <v>1</v>
      </c>
      <c r="O96" s="246"/>
      <c r="P96" s="247"/>
      <c r="Q96" s="246"/>
    </row>
    <row r="97" spans="1:17">
      <c r="A97" s="242"/>
      <c r="B97" s="242"/>
      <c r="C97" s="242"/>
      <c r="D97" s="242"/>
      <c r="E97" s="242"/>
      <c r="F97" s="242"/>
      <c r="G97" s="242"/>
      <c r="H97" s="242"/>
      <c r="I97" s="242"/>
      <c r="J97" s="242"/>
      <c r="K97" s="242"/>
      <c r="L97" s="242"/>
      <c r="M97" s="242"/>
      <c r="N97" s="242">
        <f t="shared" si="2"/>
        <v>1</v>
      </c>
      <c r="O97" s="246"/>
      <c r="P97" s="247"/>
      <c r="Q97" s="246"/>
    </row>
    <row r="98" spans="1:17">
      <c r="A98" s="242"/>
      <c r="B98" s="242"/>
      <c r="C98" s="242"/>
      <c r="D98" s="242"/>
      <c r="E98" s="242"/>
      <c r="F98" s="242"/>
      <c r="G98" s="242"/>
      <c r="H98" s="242"/>
      <c r="I98" s="242"/>
      <c r="J98" s="242"/>
      <c r="K98" s="242"/>
      <c r="L98" s="242"/>
      <c r="M98" s="242"/>
      <c r="N98" s="242">
        <f t="shared" si="2"/>
        <v>1</v>
      </c>
      <c r="O98" s="246">
        <v>2011</v>
      </c>
      <c r="P98" s="247">
        <f>VLOOKUP(INT(O98),'Exhibit 7.3'!$A$1:$I$129,9)*N98+(1-N98)*VLOOKUP(INT(O98)+1,'Exhibit 7.3'!$A$1:$I$129,9)</f>
        <v>0.37039412473228595</v>
      </c>
      <c r="Q98" s="246"/>
    </row>
    <row r="99" spans="1:17">
      <c r="A99" s="242"/>
      <c r="B99" s="242"/>
      <c r="C99" s="242"/>
      <c r="D99" s="242"/>
      <c r="E99" s="242"/>
      <c r="F99" s="242"/>
      <c r="G99" s="242"/>
      <c r="H99" s="242"/>
      <c r="I99" s="242"/>
      <c r="J99" s="242"/>
      <c r="K99" s="242"/>
      <c r="L99" s="242"/>
      <c r="M99" s="242"/>
      <c r="N99" s="242">
        <f t="shared" si="2"/>
        <v>0.75</v>
      </c>
      <c r="O99" s="246">
        <f t="shared" ref="O99:O156" si="4">+O98+0.25</f>
        <v>2011.25</v>
      </c>
      <c r="P99" s="247">
        <f>VLOOKUP(INT(O99),'Exhibit 7.3'!$A$1:$I$129,9)*N99+(1-N99)*VLOOKUP(INT(O99)+1,'Exhibit 7.3'!$A$1:$I$129,9)</f>
        <v>0.37212341253848924</v>
      </c>
      <c r="Q99" s="246"/>
    </row>
    <row r="100" spans="1:17">
      <c r="A100" s="242"/>
      <c r="B100" s="242"/>
      <c r="C100" s="242"/>
      <c r="D100" s="242"/>
      <c r="E100" s="242"/>
      <c r="F100" s="242"/>
      <c r="G100" s="242"/>
      <c r="H100" s="242"/>
      <c r="I100" s="242"/>
      <c r="J100" s="242"/>
      <c r="K100" s="242"/>
      <c r="L100" s="242"/>
      <c r="M100" s="242"/>
      <c r="N100" s="242">
        <f t="shared" si="2"/>
        <v>0.5</v>
      </c>
      <c r="O100" s="246">
        <f t="shared" si="4"/>
        <v>2011.5</v>
      </c>
      <c r="P100" s="247">
        <f>VLOOKUP(INT(O100),'Exhibit 7.3'!$A$1:$I$129,9)*N100+(1-N100)*VLOOKUP(INT(O100)+1,'Exhibit 7.3'!$A$1:$I$129,9)</f>
        <v>0.37385270034469259</v>
      </c>
      <c r="Q100" s="246"/>
    </row>
    <row r="101" spans="1:17">
      <c r="A101" s="242"/>
      <c r="B101" s="242"/>
      <c r="C101" s="242"/>
      <c r="D101" s="242"/>
      <c r="E101" s="242"/>
      <c r="F101" s="242"/>
      <c r="G101" s="242"/>
      <c r="H101" s="242"/>
      <c r="I101" s="242"/>
      <c r="J101" s="242"/>
      <c r="K101" s="242"/>
      <c r="L101" s="242"/>
      <c r="M101" s="242"/>
      <c r="N101" s="242">
        <f t="shared" si="2"/>
        <v>0.25</v>
      </c>
      <c r="O101" s="246">
        <f t="shared" si="4"/>
        <v>2011.75</v>
      </c>
      <c r="P101" s="247">
        <f>VLOOKUP(INT(O101),'Exhibit 7.3'!$A$1:$I$129,9)*N101+(1-N101)*VLOOKUP(INT(O101)+1,'Exhibit 7.3'!$A$1:$I$129,9)</f>
        <v>0.37558198815089594</v>
      </c>
      <c r="Q101" s="246"/>
    </row>
    <row r="102" spans="1:17" s="93" customFormat="1">
      <c r="A102" s="242"/>
      <c r="B102" s="242"/>
      <c r="C102" s="242"/>
      <c r="D102" s="242"/>
      <c r="E102" s="242"/>
      <c r="F102" s="242"/>
      <c r="G102" s="242"/>
      <c r="H102" s="242"/>
      <c r="I102" s="242"/>
      <c r="J102" s="242"/>
      <c r="K102" s="242"/>
      <c r="L102" s="242"/>
      <c r="M102" s="242"/>
      <c r="N102" s="242">
        <f t="shared" si="2"/>
        <v>1</v>
      </c>
      <c r="O102" s="246">
        <f t="shared" si="4"/>
        <v>2012</v>
      </c>
      <c r="P102" s="247">
        <f>VLOOKUP(INT(O102),'Exhibit 7.3'!$A$1:$I$129,9)*N102+(1-N102)*VLOOKUP(INT(O102)+1,'Exhibit 7.3'!$A$1:$I$129,9)</f>
        <v>0.37731127595709923</v>
      </c>
      <c r="Q102" s="246"/>
    </row>
    <row r="103" spans="1:17" s="93" customFormat="1">
      <c r="A103" s="242"/>
      <c r="B103" s="242"/>
      <c r="C103" s="242"/>
      <c r="D103" s="242"/>
      <c r="E103" s="242"/>
      <c r="F103" s="242"/>
      <c r="G103" s="242"/>
      <c r="H103" s="242"/>
      <c r="I103" s="242"/>
      <c r="J103" s="242"/>
      <c r="K103" s="242"/>
      <c r="L103" s="242"/>
      <c r="M103" s="242"/>
      <c r="N103" s="242">
        <f t="shared" si="2"/>
        <v>0.75</v>
      </c>
      <c r="O103" s="246">
        <f t="shared" si="4"/>
        <v>2012.25</v>
      </c>
      <c r="P103" s="247">
        <f>VLOOKUP(INT(O103),'Exhibit 7.3'!$A$1:$I$129,9)*N103+(1-N103)*VLOOKUP(INT(O103)+1,'Exhibit 7.3'!$A$1:$I$129,9)</f>
        <v>0.37751198134601355</v>
      </c>
      <c r="Q103" s="246"/>
    </row>
    <row r="104" spans="1:17" s="93" customFormat="1">
      <c r="A104" s="242"/>
      <c r="B104" s="242"/>
      <c r="C104" s="242"/>
      <c r="D104" s="242"/>
      <c r="E104" s="242"/>
      <c r="F104" s="242"/>
      <c r="G104" s="242"/>
      <c r="H104" s="242"/>
      <c r="I104" s="242"/>
      <c r="J104" s="242"/>
      <c r="K104" s="242"/>
      <c r="L104" s="242"/>
      <c r="M104" s="242"/>
      <c r="N104" s="242">
        <f t="shared" si="2"/>
        <v>0.5</v>
      </c>
      <c r="O104" s="246">
        <f t="shared" si="4"/>
        <v>2012.5</v>
      </c>
      <c r="P104" s="247">
        <f>VLOOKUP(INT(O104),'Exhibit 7.3'!$A$1:$I$129,9)*N104+(1-N104)*VLOOKUP(INT(O104)+1,'Exhibit 7.3'!$A$1:$I$129,9)</f>
        <v>0.3777126867349278</v>
      </c>
      <c r="Q104" s="246"/>
    </row>
    <row r="105" spans="1:17" s="93" customFormat="1">
      <c r="A105" s="242"/>
      <c r="B105" s="242"/>
      <c r="C105" s="242"/>
      <c r="D105" s="242"/>
      <c r="E105" s="242"/>
      <c r="F105" s="242"/>
      <c r="G105" s="242"/>
      <c r="H105" s="242"/>
      <c r="I105" s="242"/>
      <c r="J105" s="242"/>
      <c r="K105" s="242"/>
      <c r="L105" s="242"/>
      <c r="M105" s="242"/>
      <c r="N105" s="242">
        <f t="shared" si="2"/>
        <v>0.25</v>
      </c>
      <c r="O105" s="246">
        <f t="shared" si="4"/>
        <v>2012.75</v>
      </c>
      <c r="P105" s="247">
        <f>VLOOKUP(INT(O105),'Exhibit 7.3'!$A$1:$I$129,9)*N105+(1-N105)*VLOOKUP(INT(O105)+1,'Exhibit 7.3'!$A$1:$I$129,9)</f>
        <v>0.37791339212384212</v>
      </c>
      <c r="Q105" s="246"/>
    </row>
    <row r="106" spans="1:17" s="93" customFormat="1">
      <c r="A106" s="242"/>
      <c r="B106" s="242"/>
      <c r="C106" s="242"/>
      <c r="D106" s="242"/>
      <c r="E106" s="242"/>
      <c r="F106" s="242"/>
      <c r="G106" s="242"/>
      <c r="H106" s="242"/>
      <c r="I106" s="242"/>
      <c r="J106" s="242"/>
      <c r="K106" s="242"/>
      <c r="L106" s="242"/>
      <c r="M106" s="242"/>
      <c r="N106" s="242">
        <f t="shared" si="2"/>
        <v>1</v>
      </c>
      <c r="O106" s="246">
        <f t="shared" si="4"/>
        <v>2013</v>
      </c>
      <c r="P106" s="247">
        <f>VLOOKUP(INT(O106),'Exhibit 7.3'!$A$1:$I$129,9)*N106+(1-N106)*VLOOKUP(INT(O106)+1,'Exhibit 7.3'!$A$1:$I$129,9)</f>
        <v>0.37811409751275638</v>
      </c>
      <c r="Q106" s="246"/>
    </row>
    <row r="107" spans="1:17" s="93" customFormat="1">
      <c r="A107" s="242"/>
      <c r="B107" s="242"/>
      <c r="C107" s="242"/>
      <c r="D107" s="242"/>
      <c r="E107" s="242"/>
      <c r="F107" s="242"/>
      <c r="G107" s="242"/>
      <c r="H107" s="242"/>
      <c r="I107" s="242"/>
      <c r="J107" s="242"/>
      <c r="K107" s="242"/>
      <c r="L107" s="242"/>
      <c r="M107" s="242"/>
      <c r="N107" s="242">
        <f t="shared" si="2"/>
        <v>0.75</v>
      </c>
      <c r="O107" s="246">
        <f t="shared" si="4"/>
        <v>2013.25</v>
      </c>
      <c r="P107" s="247">
        <f>VLOOKUP(INT(O107),'Exhibit 7.3'!$A$1:$I$129,9)*N107+(1-N107)*VLOOKUP(INT(O107)+1,'Exhibit 7.3'!$A$1:$I$129,9)</f>
        <v>0.38146025451645882</v>
      </c>
      <c r="Q107" s="246"/>
    </row>
    <row r="108" spans="1:17" s="93" customFormat="1">
      <c r="A108" s="242"/>
      <c r="B108" s="242"/>
      <c r="C108" s="242"/>
      <c r="D108" s="242"/>
      <c r="E108" s="242"/>
      <c r="F108" s="242"/>
      <c r="G108" s="242"/>
      <c r="H108" s="242"/>
      <c r="I108" s="242"/>
      <c r="J108" s="242"/>
      <c r="K108" s="242"/>
      <c r="L108" s="242"/>
      <c r="M108" s="242"/>
      <c r="N108" s="242">
        <f t="shared" si="2"/>
        <v>0.5</v>
      </c>
      <c r="O108" s="246">
        <f t="shared" si="4"/>
        <v>2013.5</v>
      </c>
      <c r="P108" s="247">
        <f>VLOOKUP(INT(O108),'Exhibit 7.3'!$A$1:$I$129,9)*N108+(1-N108)*VLOOKUP(INT(O108)+1,'Exhibit 7.3'!$A$1:$I$129,9)</f>
        <v>0.38480641152016126</v>
      </c>
      <c r="Q108" s="246"/>
    </row>
    <row r="109" spans="1:17" s="93" customFormat="1">
      <c r="A109" s="242"/>
      <c r="B109" s="242"/>
      <c r="C109" s="242"/>
      <c r="D109" s="242"/>
      <c r="E109" s="242"/>
      <c r="F109" s="242"/>
      <c r="G109" s="242"/>
      <c r="H109" s="242"/>
      <c r="I109" s="242"/>
      <c r="J109" s="242"/>
      <c r="K109" s="242"/>
      <c r="L109" s="242"/>
      <c r="M109" s="242"/>
      <c r="N109" s="242">
        <f t="shared" si="2"/>
        <v>0.25</v>
      </c>
      <c r="O109" s="246">
        <f t="shared" si="4"/>
        <v>2013.75</v>
      </c>
      <c r="P109" s="247">
        <f>VLOOKUP(INT(O109),'Exhibit 7.3'!$A$1:$I$129,9)*N109+(1-N109)*VLOOKUP(INT(O109)+1,'Exhibit 7.3'!$A$1:$I$129,9)</f>
        <v>0.38815256852386371</v>
      </c>
      <c r="Q109" s="246"/>
    </row>
    <row r="110" spans="1:17" s="93" customFormat="1">
      <c r="A110" s="242"/>
      <c r="B110" s="242"/>
      <c r="C110" s="242"/>
      <c r="D110" s="242"/>
      <c r="E110" s="242"/>
      <c r="F110" s="242"/>
      <c r="G110" s="242"/>
      <c r="H110" s="242"/>
      <c r="I110" s="242"/>
      <c r="J110" s="242"/>
      <c r="K110" s="242"/>
      <c r="L110" s="242"/>
      <c r="M110" s="242"/>
      <c r="N110" s="242">
        <f t="shared" si="2"/>
        <v>1</v>
      </c>
      <c r="O110" s="246">
        <f t="shared" si="4"/>
        <v>2014</v>
      </c>
      <c r="P110" s="247">
        <f ca="1">VLOOKUP(INT(O110),'Exhibit 7.3'!$A$1:$I$129,9)*N110+(1-N110)*VLOOKUP(INT(O110)+1,'Exhibit 7.3'!$A$1:$I$129,9)</f>
        <v>0.39149872552756615</v>
      </c>
      <c r="Q110" s="246"/>
    </row>
    <row r="111" spans="1:17" s="93" customFormat="1">
      <c r="A111" s="242"/>
      <c r="B111" s="242"/>
      <c r="C111" s="242"/>
      <c r="D111" s="242"/>
      <c r="E111" s="242"/>
      <c r="F111" s="242"/>
      <c r="G111" s="242"/>
      <c r="H111" s="242"/>
      <c r="I111" s="242"/>
      <c r="J111" s="242"/>
      <c r="K111" s="242"/>
      <c r="L111" s="242"/>
      <c r="M111" s="242"/>
      <c r="N111" s="242">
        <f t="shared" si="2"/>
        <v>0.75</v>
      </c>
      <c r="O111" s="246">
        <f t="shared" si="4"/>
        <v>2014.25</v>
      </c>
      <c r="P111" s="247">
        <f ca="1">VLOOKUP(INT(O111),'Exhibit 7.3'!$A$1:$I$129,9)*N111+(1-N111)*VLOOKUP(INT(O111)+1,'Exhibit 7.3'!$A$1:$I$129,9)</f>
        <v>0.39337751382965269</v>
      </c>
      <c r="Q111" s="246"/>
    </row>
    <row r="112" spans="1:17" s="93" customFormat="1">
      <c r="A112" s="242"/>
      <c r="B112" s="242"/>
      <c r="C112" s="242"/>
      <c r="D112" s="242"/>
      <c r="E112" s="242"/>
      <c r="F112" s="242"/>
      <c r="G112" s="242"/>
      <c r="H112" s="242"/>
      <c r="I112" s="242"/>
      <c r="J112" s="242"/>
      <c r="K112" s="242"/>
      <c r="L112" s="242"/>
      <c r="M112" s="242"/>
      <c r="N112" s="242">
        <f t="shared" si="2"/>
        <v>0.5</v>
      </c>
      <c r="O112" s="246">
        <f t="shared" si="4"/>
        <v>2014.5</v>
      </c>
      <c r="P112" s="247">
        <f ca="1">VLOOKUP(INT(O112),'Exhibit 7.3'!$A$1:$I$129,9)*N112+(1-N112)*VLOOKUP(INT(O112)+1,'Exhibit 7.3'!$A$1:$I$129,9)</f>
        <v>0.39525630213173929</v>
      </c>
      <c r="Q112" s="247"/>
    </row>
    <row r="113" spans="1:17">
      <c r="A113" s="242"/>
      <c r="B113" s="242"/>
      <c r="C113" s="242"/>
      <c r="D113" s="242"/>
      <c r="E113" s="242"/>
      <c r="F113" s="242"/>
      <c r="G113" s="242"/>
      <c r="H113" s="242"/>
      <c r="I113" s="242"/>
      <c r="J113" s="242"/>
      <c r="K113" s="242"/>
      <c r="L113" s="242"/>
      <c r="M113" s="242"/>
      <c r="N113" s="242">
        <f t="shared" si="2"/>
        <v>0.25</v>
      </c>
      <c r="O113" s="246">
        <f t="shared" si="4"/>
        <v>2014.75</v>
      </c>
      <c r="P113" s="247">
        <f ca="1">VLOOKUP(INT(O113),'Exhibit 7.3'!$A$1:$I$129,9)*N113+(1-N113)*VLOOKUP(INT(O113)+1,'Exhibit 7.3'!$A$1:$I$129,9)</f>
        <v>0.39713509043382583</v>
      </c>
      <c r="Q113" s="94"/>
    </row>
    <row r="114" spans="1:17">
      <c r="A114" s="242"/>
      <c r="B114" s="242"/>
      <c r="C114" s="242"/>
      <c r="D114" s="242"/>
      <c r="E114" s="242"/>
      <c r="F114" s="242"/>
      <c r="G114" s="242"/>
      <c r="H114" s="242"/>
      <c r="I114" s="242"/>
      <c r="J114" s="242"/>
      <c r="K114" s="242"/>
      <c r="L114" s="242"/>
      <c r="M114" s="242"/>
      <c r="N114" s="242">
        <f t="shared" si="2"/>
        <v>1</v>
      </c>
      <c r="O114" s="246">
        <f t="shared" si="4"/>
        <v>2015</v>
      </c>
      <c r="P114" s="247">
        <f ca="1">VLOOKUP(INT(O114),'Exhibit 7.3'!$A$1:$I$129,9)*N114+(1-N114)*VLOOKUP(INT(O114)+1,'Exhibit 7.3'!$A$1:$I$129,9)</f>
        <v>0.39901387873591243</v>
      </c>
      <c r="Q114" s="94"/>
    </row>
    <row r="115" spans="1:17">
      <c r="A115" s="242"/>
      <c r="B115" s="242"/>
      <c r="C115" s="242"/>
      <c r="D115" s="242"/>
      <c r="E115" s="242"/>
      <c r="F115" s="242"/>
      <c r="G115" s="242"/>
      <c r="H115" s="242"/>
      <c r="I115" s="242"/>
      <c r="J115" s="242"/>
      <c r="K115" s="242"/>
      <c r="L115" s="242"/>
      <c r="M115" s="242"/>
      <c r="N115" s="242">
        <f t="shared" si="2"/>
        <v>0.75</v>
      </c>
      <c r="O115" s="246">
        <f t="shared" si="4"/>
        <v>2015.25</v>
      </c>
      <c r="P115" s="247">
        <f ca="1">VLOOKUP(INT(O115),'Exhibit 7.3'!$A$1:$I$129,9)*N115+(1-N115)*VLOOKUP(INT(O115)+1,'Exhibit 7.3'!$A$1:$I$129,9)</f>
        <v>0.39129062993691383</v>
      </c>
      <c r="Q115" s="94"/>
    </row>
    <row r="116" spans="1:17">
      <c r="A116" s="242"/>
      <c r="B116" s="242"/>
      <c r="C116" s="242"/>
      <c r="D116" s="242"/>
      <c r="E116" s="242"/>
      <c r="F116" s="242"/>
      <c r="G116" s="242"/>
      <c r="H116" s="242"/>
      <c r="I116" s="242"/>
      <c r="J116" s="242"/>
      <c r="K116" s="242"/>
      <c r="L116" s="242"/>
      <c r="M116" s="242"/>
      <c r="N116" s="242">
        <f t="shared" si="2"/>
        <v>0.5</v>
      </c>
      <c r="O116" s="246">
        <f t="shared" si="4"/>
        <v>2015.5</v>
      </c>
      <c r="P116" s="247">
        <f ca="1">VLOOKUP(INT(O116),'Exhibit 7.3'!$A$1:$I$129,9)*N116+(1-N116)*VLOOKUP(INT(O116)+1,'Exhibit 7.3'!$A$1:$I$129,9)</f>
        <v>0.38356738113791533</v>
      </c>
      <c r="Q116" s="247"/>
    </row>
    <row r="117" spans="1:17">
      <c r="A117" s="242"/>
      <c r="B117" s="242"/>
      <c r="C117" s="242"/>
      <c r="D117" s="242"/>
      <c r="E117" s="242"/>
      <c r="F117" s="242"/>
      <c r="G117" s="242"/>
      <c r="H117" s="242"/>
      <c r="I117" s="242"/>
      <c r="J117" s="242"/>
      <c r="K117" s="242"/>
      <c r="L117" s="242"/>
      <c r="M117" s="242"/>
      <c r="N117" s="242">
        <f t="shared" si="2"/>
        <v>0.25</v>
      </c>
      <c r="O117" s="246">
        <f t="shared" si="4"/>
        <v>2015.75</v>
      </c>
      <c r="P117" s="247">
        <f ca="1">VLOOKUP(INT(O117),'Exhibit 7.3'!$A$1:$I$129,9)*N117+(1-N117)*VLOOKUP(INT(O117)+1,'Exhibit 7.3'!$A$1:$I$129,9)</f>
        <v>0.37584413233891678</v>
      </c>
      <c r="Q117" s="94"/>
    </row>
    <row r="118" spans="1:17">
      <c r="A118" s="242"/>
      <c r="B118" s="242"/>
      <c r="C118" s="242"/>
      <c r="D118" s="242"/>
      <c r="E118" s="242"/>
      <c r="F118" s="242"/>
      <c r="G118" s="242"/>
      <c r="H118" s="242"/>
      <c r="I118" s="242"/>
      <c r="J118" s="242"/>
      <c r="K118" s="242"/>
      <c r="L118" s="242"/>
      <c r="M118" s="242"/>
      <c r="N118" s="242">
        <f t="shared" si="2"/>
        <v>1</v>
      </c>
      <c r="O118" s="246">
        <f t="shared" si="4"/>
        <v>2016</v>
      </c>
      <c r="P118" s="247">
        <f ca="1">VLOOKUP(INT(O118),'Exhibit 7.3'!$A$1:$I$129,9)*N118+(1-N118)*VLOOKUP(INT(O118)+1,'Exhibit 7.3'!$A$1:$I$129,9)</f>
        <v>0.36812088353991818</v>
      </c>
      <c r="Q118" s="94"/>
    </row>
    <row r="119" spans="1:17">
      <c r="A119" s="242"/>
      <c r="B119" s="242"/>
      <c r="C119" s="242"/>
      <c r="D119" s="242"/>
      <c r="E119" s="242"/>
      <c r="F119" s="242"/>
      <c r="G119" s="242"/>
      <c r="H119" s="242"/>
      <c r="I119" s="242"/>
      <c r="J119" s="242"/>
      <c r="K119" s="242"/>
      <c r="L119" s="242"/>
      <c r="M119" s="242"/>
      <c r="N119" s="242">
        <f t="shared" si="2"/>
        <v>0.75</v>
      </c>
      <c r="O119" s="246">
        <f t="shared" si="4"/>
        <v>2016.25</v>
      </c>
      <c r="P119" s="247">
        <f ca="1">VLOOKUP(INT(O119),'Exhibit 7.3'!$A$1:$I$129,9)*N119+(1-N119)*VLOOKUP(INT(O119)+1,'Exhibit 7.3'!$A$1:$I$129,9)</f>
        <v>0.36717181722232112</v>
      </c>
      <c r="Q119" s="94"/>
    </row>
    <row r="120" spans="1:17">
      <c r="A120" s="242"/>
      <c r="B120" s="242"/>
      <c r="C120" s="242"/>
      <c r="D120" s="242"/>
      <c r="E120" s="242"/>
      <c r="F120" s="242"/>
      <c r="G120" s="242"/>
      <c r="H120" s="242"/>
      <c r="I120" s="242"/>
      <c r="J120" s="242"/>
      <c r="K120" s="242"/>
      <c r="L120" s="242"/>
      <c r="M120" s="242"/>
      <c r="N120" s="242">
        <f t="shared" ref="N120:N126" si="5">INT(O120)-O120+1</f>
        <v>0.5</v>
      </c>
      <c r="O120" s="246">
        <f t="shared" si="4"/>
        <v>2016.5</v>
      </c>
      <c r="P120" s="247">
        <f ca="1">VLOOKUP(INT(O120),'Exhibit 7.3'!$A$1:$I$129,9)*N120+(1-N120)*VLOOKUP(INT(O120)+1,'Exhibit 7.3'!$A$1:$I$129,9)</f>
        <v>0.366222750904724</v>
      </c>
      <c r="Q120" s="247"/>
    </row>
    <row r="121" spans="1:17">
      <c r="A121" s="242"/>
      <c r="B121" s="242"/>
      <c r="C121" s="242"/>
      <c r="D121" s="242"/>
      <c r="E121" s="242"/>
      <c r="F121" s="242"/>
      <c r="G121" s="242"/>
      <c r="H121" s="242"/>
      <c r="I121" s="242"/>
      <c r="J121" s="242"/>
      <c r="K121" s="242"/>
      <c r="L121" s="242"/>
      <c r="M121" s="242"/>
      <c r="N121" s="242">
        <f t="shared" si="5"/>
        <v>0.25</v>
      </c>
      <c r="O121" s="246">
        <f t="shared" si="4"/>
        <v>2016.75</v>
      </c>
      <c r="P121" s="247">
        <f ca="1">VLOOKUP(INT(O121),'Exhibit 7.3'!$A$1:$I$129,9)*N121+(1-N121)*VLOOKUP(INT(O121)+1,'Exhibit 7.3'!$A$1:$I$129,9)</f>
        <v>0.36527368458712689</v>
      </c>
      <c r="Q121" s="247"/>
    </row>
    <row r="122" spans="1:17">
      <c r="A122" s="242"/>
      <c r="B122" s="242"/>
      <c r="C122" s="242"/>
      <c r="D122" s="242"/>
      <c r="E122" s="242"/>
      <c r="F122" s="242"/>
      <c r="G122" s="242"/>
      <c r="H122" s="242"/>
      <c r="I122" s="242"/>
      <c r="J122" s="242"/>
      <c r="K122" s="242"/>
      <c r="L122" s="242"/>
      <c r="M122" s="242"/>
      <c r="N122" s="242">
        <f t="shared" si="5"/>
        <v>1</v>
      </c>
      <c r="O122" s="246">
        <f t="shared" si="4"/>
        <v>2017</v>
      </c>
      <c r="P122" s="247">
        <f ca="1">VLOOKUP(INT(O122),'Exhibit 7.3'!$A$1:$I$129,9)*N122+(1-N122)*VLOOKUP(INT(O122)+1,'Exhibit 7.3'!$A$1:$I$129,9)</f>
        <v>0.36432461826952983</v>
      </c>
      <c r="Q122" s="247"/>
    </row>
    <row r="123" spans="1:17">
      <c r="A123" s="242"/>
      <c r="B123" s="242"/>
      <c r="C123" s="242"/>
      <c r="D123" s="242"/>
      <c r="E123" s="242"/>
      <c r="F123" s="242"/>
      <c r="G123" s="242"/>
      <c r="H123" s="242"/>
      <c r="I123" s="242"/>
      <c r="J123" s="242"/>
      <c r="K123" s="242"/>
      <c r="L123" s="242"/>
      <c r="M123" s="242"/>
      <c r="N123" s="242">
        <f t="shared" si="5"/>
        <v>0.75</v>
      </c>
      <c r="O123" s="246">
        <f t="shared" si="4"/>
        <v>2017.25</v>
      </c>
      <c r="P123" s="247">
        <f ca="1">VLOOKUP(INT(O123),'Exhibit 7.3'!$A$1:$I$129,9)*N123+(1-N123)*VLOOKUP(INT(O123)+1,'Exhibit 7.3'!$A$1:$I$129,9)</f>
        <v>0.36750402860562104</v>
      </c>
      <c r="Q123" s="247"/>
    </row>
    <row r="124" spans="1:17">
      <c r="A124" s="242"/>
      <c r="B124" s="242"/>
      <c r="C124" s="242"/>
      <c r="D124" s="242"/>
      <c r="E124" s="242"/>
      <c r="F124" s="242"/>
      <c r="G124" s="242"/>
      <c r="H124" s="242"/>
      <c r="I124" s="242"/>
      <c r="J124" s="242"/>
      <c r="K124" s="242"/>
      <c r="L124" s="242"/>
      <c r="M124" s="242"/>
      <c r="N124" s="242">
        <f t="shared" si="5"/>
        <v>0.5</v>
      </c>
      <c r="O124" s="246">
        <f t="shared" si="4"/>
        <v>2017.5</v>
      </c>
      <c r="P124" s="247">
        <f ca="1">VLOOKUP(INT(O124),'Exhibit 7.3'!$A$1:$I$129,9)*N124+(1-N124)*VLOOKUP(INT(O124)+1,'Exhibit 7.3'!$A$1:$I$129,9)</f>
        <v>0.3706834389417123</v>
      </c>
      <c r="Q124" s="247"/>
    </row>
    <row r="125" spans="1:17">
      <c r="A125" s="242"/>
      <c r="B125" s="242"/>
      <c r="C125" s="242"/>
      <c r="D125" s="242"/>
      <c r="E125" s="242"/>
      <c r="F125" s="242"/>
      <c r="G125" s="242"/>
      <c r="H125" s="242"/>
      <c r="I125" s="242"/>
      <c r="J125" s="242"/>
      <c r="K125" s="242"/>
      <c r="L125" s="242"/>
      <c r="M125" s="242"/>
      <c r="N125" s="242">
        <f t="shared" si="5"/>
        <v>0.25</v>
      </c>
      <c r="O125" s="246">
        <f t="shared" si="4"/>
        <v>2017.75</v>
      </c>
      <c r="P125" s="247">
        <f ca="1">VLOOKUP(INT(O125),'Exhibit 7.3'!$A$1:$I$129,9)*N125+(1-N125)*VLOOKUP(INT(O125)+1,'Exhibit 7.3'!$A$1:$I$129,9)</f>
        <v>0.37386284927780356</v>
      </c>
      <c r="Q125" s="247"/>
    </row>
    <row r="126" spans="1:17">
      <c r="A126" s="242"/>
      <c r="B126" s="242"/>
      <c r="C126" s="242"/>
      <c r="D126" s="242"/>
      <c r="E126" s="242"/>
      <c r="F126" s="242"/>
      <c r="G126" s="242"/>
      <c r="H126" s="242"/>
      <c r="I126" s="242"/>
      <c r="J126" s="242"/>
      <c r="K126" s="242"/>
      <c r="L126" s="242"/>
      <c r="M126" s="242"/>
      <c r="N126" s="242">
        <f t="shared" si="5"/>
        <v>1</v>
      </c>
      <c r="O126" s="246">
        <f t="shared" si="4"/>
        <v>2018</v>
      </c>
      <c r="P126" s="247">
        <f ca="1">VLOOKUP(INT(O126),'Exhibit 7.3'!$A$1:$I$129,9)*N126+(1-N126)*VLOOKUP(INT(O126)+1,'Exhibit 7.3'!$A$1:$I$129,9)</f>
        <v>0.37704225961389476</v>
      </c>
      <c r="Q126" s="247"/>
    </row>
    <row r="127" spans="1:17">
      <c r="A127" s="242"/>
      <c r="B127" s="242"/>
      <c r="C127" s="242"/>
      <c r="D127" s="242"/>
      <c r="E127" s="242"/>
      <c r="F127" s="242"/>
      <c r="G127" s="242"/>
      <c r="H127" s="242"/>
      <c r="I127" s="242"/>
      <c r="J127" s="242"/>
      <c r="K127" s="242"/>
      <c r="L127" s="242"/>
      <c r="M127" s="242"/>
      <c r="N127" s="242">
        <f t="shared" ref="N127:N148" si="6">INT(O127)-O127+1</f>
        <v>0.75</v>
      </c>
      <c r="O127" s="246">
        <f t="shared" si="4"/>
        <v>2018.25</v>
      </c>
      <c r="P127" s="247">
        <f ca="1">VLOOKUP(INT(O127),'Exhibit 7.3'!$A$1:$I$129,9)*N127+(1-N127)*VLOOKUP(INT(O127)+1,'Exhibit 7.3'!$A$1:$I$129,9)</f>
        <v>0.37796747513750184</v>
      </c>
      <c r="Q127" s="247"/>
    </row>
    <row r="128" spans="1:17">
      <c r="A128" s="242"/>
      <c r="B128" s="242"/>
      <c r="C128" s="242"/>
      <c r="D128" s="242"/>
      <c r="E128" s="242"/>
      <c r="F128" s="242"/>
      <c r="G128" s="242"/>
      <c r="H128" s="242"/>
      <c r="I128" s="242"/>
      <c r="J128" s="242"/>
      <c r="K128" s="242"/>
      <c r="L128" s="242"/>
      <c r="M128" s="242"/>
      <c r="N128" s="242">
        <f t="shared" si="6"/>
        <v>0.5</v>
      </c>
      <c r="O128" s="246">
        <f t="shared" si="4"/>
        <v>2018.5</v>
      </c>
      <c r="P128" s="247">
        <f ca="1">VLOOKUP(INT(O128),'Exhibit 7.3'!$A$1:$I$129,9)*N128+(1-N128)*VLOOKUP(INT(O128)+1,'Exhibit 7.3'!$A$1:$I$129,9)</f>
        <v>0.37889269066110887</v>
      </c>
      <c r="Q128" s="212"/>
    </row>
    <row r="129" spans="1:17">
      <c r="A129" s="242"/>
      <c r="B129" s="242"/>
      <c r="C129" s="242"/>
      <c r="D129" s="242"/>
      <c r="E129" s="242"/>
      <c r="F129" s="242"/>
      <c r="G129" s="242"/>
      <c r="H129" s="242"/>
      <c r="I129" s="242"/>
      <c r="J129" s="242"/>
      <c r="K129" s="242"/>
      <c r="L129" s="242"/>
      <c r="M129" s="242"/>
      <c r="N129" s="242">
        <f t="shared" si="6"/>
        <v>0.25</v>
      </c>
      <c r="O129" s="246">
        <f t="shared" si="4"/>
        <v>2018.75</v>
      </c>
      <c r="P129" s="247">
        <f ca="1">VLOOKUP(INT(O129),'Exhibit 7.3'!$A$1:$I$129,9)*N129+(1-N129)*VLOOKUP(INT(O129)+1,'Exhibit 7.3'!$A$1:$I$129,9)</f>
        <v>0.37981790618471589</v>
      </c>
      <c r="Q129" s="212"/>
    </row>
    <row r="130" spans="1:17">
      <c r="A130" s="242"/>
      <c r="B130" s="242"/>
      <c r="C130" s="242"/>
      <c r="D130" s="242"/>
      <c r="E130" s="242"/>
      <c r="F130" s="242"/>
      <c r="G130" s="242"/>
      <c r="H130" s="242"/>
      <c r="I130" s="242"/>
      <c r="J130" s="242"/>
      <c r="K130" s="242"/>
      <c r="L130" s="242"/>
      <c r="M130" s="242"/>
      <c r="N130" s="242">
        <f t="shared" si="6"/>
        <v>1</v>
      </c>
      <c r="O130" s="246">
        <f t="shared" si="4"/>
        <v>2019</v>
      </c>
      <c r="P130" s="247">
        <f ca="1">VLOOKUP(INT(O130),'Exhibit 7.3'!$A$1:$I$129,9)*N130+(1-N130)*VLOOKUP(INT(O130)+1,'Exhibit 7.3'!$A$1:$I$129,9)</f>
        <v>0.38074312170832297</v>
      </c>
      <c r="Q130" s="213"/>
    </row>
    <row r="131" spans="1:17">
      <c r="A131" s="242"/>
      <c r="B131" s="242"/>
      <c r="C131" s="242"/>
      <c r="D131" s="242"/>
      <c r="E131" s="242"/>
      <c r="F131" s="242"/>
      <c r="G131" s="242"/>
      <c r="H131" s="242"/>
      <c r="I131" s="242"/>
      <c r="J131" s="242"/>
      <c r="K131" s="242"/>
      <c r="L131" s="242"/>
      <c r="M131" s="242"/>
      <c r="N131" s="242">
        <f t="shared" ref="N131:N134" si="7">INT(O131)-O131+1</f>
        <v>0.75</v>
      </c>
      <c r="O131" s="246">
        <f t="shared" si="4"/>
        <v>2019.25</v>
      </c>
      <c r="P131" s="247">
        <f ca="1">VLOOKUP(INT(O131),'Exhibit 7.3'!$A$1:$I$129,9)*N131+(1-N131)*VLOOKUP(INT(O131)+1,'Exhibit 7.3'!$A$1:$I$129,9)</f>
        <v>0.37848814570575906</v>
      </c>
      <c r="Q131" s="213"/>
    </row>
    <row r="132" spans="1:17">
      <c r="A132" s="242"/>
      <c r="B132" s="242"/>
      <c r="C132" s="242"/>
      <c r="D132" s="242"/>
      <c r="E132" s="242"/>
      <c r="F132" s="242"/>
      <c r="G132" s="242"/>
      <c r="H132" s="242"/>
      <c r="I132" s="242"/>
      <c r="J132" s="242"/>
      <c r="K132" s="242"/>
      <c r="L132" s="242"/>
      <c r="M132" s="242"/>
      <c r="N132" s="242">
        <f t="shared" si="7"/>
        <v>0.5</v>
      </c>
      <c r="O132" s="246">
        <f t="shared" si="4"/>
        <v>2019.5</v>
      </c>
      <c r="P132" s="247">
        <f ca="1">VLOOKUP(INT(O132),'Exhibit 7.3'!$A$1:$I$129,9)*N132+(1-N132)*VLOOKUP(INT(O132)+1,'Exhibit 7.3'!$A$1:$I$129,9)</f>
        <v>0.3762331697031952</v>
      </c>
      <c r="Q132" s="213"/>
    </row>
    <row r="133" spans="1:17">
      <c r="A133" s="242"/>
      <c r="B133" s="242"/>
      <c r="C133" s="242"/>
      <c r="D133" s="242"/>
      <c r="E133" s="242"/>
      <c r="F133" s="242"/>
      <c r="G133" s="242"/>
      <c r="H133" s="242"/>
      <c r="I133" s="242"/>
      <c r="J133" s="242"/>
      <c r="K133" s="242"/>
      <c r="L133" s="242"/>
      <c r="M133" s="242"/>
      <c r="N133" s="242">
        <f t="shared" si="7"/>
        <v>0.25</v>
      </c>
      <c r="O133" s="246">
        <f t="shared" si="4"/>
        <v>2019.75</v>
      </c>
      <c r="P133" s="247">
        <f ca="1">VLOOKUP(INT(O133),'Exhibit 7.3'!$A$1:$I$129,9)*N133+(1-N133)*VLOOKUP(INT(O133)+1,'Exhibit 7.3'!$A$1:$I$129,9)</f>
        <v>0.37397819370063135</v>
      </c>
      <c r="Q133" s="213"/>
    </row>
    <row r="134" spans="1:17">
      <c r="A134" s="242"/>
      <c r="B134" s="242"/>
      <c r="C134" s="242"/>
      <c r="D134" s="242"/>
      <c r="E134" s="242"/>
      <c r="F134" s="242"/>
      <c r="G134" s="242"/>
      <c r="H134" s="242"/>
      <c r="I134" s="242"/>
      <c r="J134" s="242"/>
      <c r="K134" s="242"/>
      <c r="L134" s="242"/>
      <c r="M134" s="242"/>
      <c r="N134" s="242">
        <f t="shared" si="7"/>
        <v>1</v>
      </c>
      <c r="O134" s="246">
        <f t="shared" si="4"/>
        <v>2020</v>
      </c>
      <c r="P134" s="247">
        <f ca="1">VLOOKUP(INT(O134),'Exhibit 7.3'!$A$1:$I$129,9)*N134+(1-N134)*VLOOKUP(INT(O134)+1,'Exhibit 7.3'!$A$1:$I$129,9)</f>
        <v>0.37172321769806743</v>
      </c>
      <c r="Q134" s="213"/>
    </row>
    <row r="135" spans="1:17">
      <c r="A135" s="242"/>
      <c r="B135" s="242"/>
      <c r="C135" s="242"/>
      <c r="D135" s="242"/>
      <c r="E135" s="242"/>
      <c r="F135" s="242"/>
      <c r="G135" s="242"/>
      <c r="H135" s="242"/>
      <c r="I135" s="242"/>
      <c r="J135" s="242"/>
      <c r="K135" s="242"/>
      <c r="L135" s="242"/>
      <c r="M135" s="242"/>
      <c r="N135" s="242">
        <f t="shared" ref="N135" si="8">INT(O135)-O135+1</f>
        <v>0.75</v>
      </c>
      <c r="O135" s="246">
        <f t="shared" si="4"/>
        <v>2020.25</v>
      </c>
      <c r="P135" s="247">
        <f ca="1">VLOOKUP(INT(O135),'Exhibit 7.3'!$A$1:$I$129,9)*N135+(1-N135)*VLOOKUP(INT(O135)+1,'Exhibit 7.3'!$A$1:$I$129,9)</f>
        <v>0.38057879590578247</v>
      </c>
      <c r="Q135" s="248"/>
    </row>
    <row r="136" spans="1:17">
      <c r="A136" s="242"/>
      <c r="B136" s="242"/>
      <c r="C136" s="242"/>
      <c r="D136" s="242"/>
      <c r="E136" s="242"/>
      <c r="F136" s="242"/>
      <c r="G136" s="242"/>
      <c r="H136" s="242"/>
      <c r="I136" s="242"/>
      <c r="J136" s="242"/>
      <c r="K136" s="242"/>
      <c r="L136" s="242"/>
      <c r="M136" s="242"/>
      <c r="N136" s="242">
        <f t="shared" si="6"/>
        <v>0.5</v>
      </c>
      <c r="O136" s="246">
        <f t="shared" si="4"/>
        <v>2020.5</v>
      </c>
      <c r="P136" s="247">
        <f ca="1">VLOOKUP(INT(O136),'Exhibit 7.3'!$A$1:$I$129,9)*N136+(1-N136)*VLOOKUP(INT(O136)+1,'Exhibit 7.3'!$A$1:$I$129,9)</f>
        <v>0.38943437411349746</v>
      </c>
      <c r="Q136" s="212"/>
    </row>
    <row r="137" spans="1:17">
      <c r="A137" s="242"/>
      <c r="B137" s="242"/>
      <c r="C137" s="242"/>
      <c r="D137" s="242"/>
      <c r="E137" s="242"/>
      <c r="F137" s="242"/>
      <c r="G137" s="242"/>
      <c r="H137" s="242"/>
      <c r="I137" s="242"/>
      <c r="J137" s="242"/>
      <c r="K137" s="242"/>
      <c r="L137" s="242"/>
      <c r="M137" s="242"/>
      <c r="N137" s="242">
        <f t="shared" si="6"/>
        <v>0.25</v>
      </c>
      <c r="O137" s="246">
        <f t="shared" si="4"/>
        <v>2020.75</v>
      </c>
      <c r="P137" s="247">
        <f ca="1">VLOOKUP(INT(O137),'Exhibit 7.3'!$A$1:$I$129,9)*N137+(1-N137)*VLOOKUP(INT(O137)+1,'Exhibit 7.3'!$A$1:$I$129,9)</f>
        <v>0.39828995232121245</v>
      </c>
      <c r="Q137" s="212"/>
    </row>
    <row r="138" spans="1:17">
      <c r="A138" s="242"/>
      <c r="B138" s="242"/>
      <c r="C138" s="242"/>
      <c r="D138" s="242"/>
      <c r="E138" s="242"/>
      <c r="F138" s="242"/>
      <c r="G138" s="242"/>
      <c r="H138" s="242"/>
      <c r="I138" s="242"/>
      <c r="J138" s="242"/>
      <c r="K138" s="242"/>
      <c r="L138" s="242"/>
      <c r="M138" s="242"/>
      <c r="N138" s="242">
        <f t="shared" si="6"/>
        <v>1</v>
      </c>
      <c r="O138" s="246">
        <f t="shared" si="4"/>
        <v>2021</v>
      </c>
      <c r="P138" s="247">
        <f ca="1">VLOOKUP(INT(O138),'Exhibit 7.3'!$A$1:$I$129,9)*N138+(1-N138)*VLOOKUP(INT(O138)+1,'Exhibit 7.3'!$A$1:$I$129,9)</f>
        <v>0.40714553052892749</v>
      </c>
      <c r="Q138" s="213"/>
    </row>
    <row r="139" spans="1:17">
      <c r="A139" s="242"/>
      <c r="B139" s="242"/>
      <c r="C139" s="242"/>
      <c r="D139" s="242"/>
      <c r="E139" s="242"/>
      <c r="F139" s="242"/>
      <c r="G139" s="242"/>
      <c r="H139" s="242"/>
      <c r="I139" s="242"/>
      <c r="J139" s="242"/>
      <c r="K139" s="242"/>
      <c r="L139" s="242"/>
      <c r="M139" s="242"/>
      <c r="N139" s="242">
        <f t="shared" si="6"/>
        <v>0.75</v>
      </c>
      <c r="O139" s="246">
        <f t="shared" si="4"/>
        <v>2021.25</v>
      </c>
      <c r="P139" s="247">
        <f ca="1">VLOOKUP(INT(O139),'Exhibit 7.3'!$A$1:$I$129,9)*N139+(1-N139)*VLOOKUP(INT(O139)+1,'Exhibit 7.3'!$A$1:$I$129,9)</f>
        <v>0.40271062878908009</v>
      </c>
      <c r="Q139" s="212"/>
    </row>
    <row r="140" spans="1:17">
      <c r="A140" s="242"/>
      <c r="B140" s="242"/>
      <c r="C140" s="242"/>
      <c r="D140" s="242"/>
      <c r="E140" s="242"/>
      <c r="F140" s="242"/>
      <c r="G140" s="242"/>
      <c r="H140" s="242"/>
      <c r="I140" s="242"/>
      <c r="J140" s="242"/>
      <c r="K140" s="242"/>
      <c r="L140" s="242"/>
      <c r="M140" s="242"/>
      <c r="N140" s="242">
        <f t="shared" si="6"/>
        <v>0.5</v>
      </c>
      <c r="O140" s="246">
        <f t="shared" si="4"/>
        <v>2021.5</v>
      </c>
      <c r="P140" s="247">
        <f ca="1">VLOOKUP(INT(O140),'Exhibit 7.3'!$A$1:$I$129,9)*N140+(1-N140)*VLOOKUP(INT(O140)+1,'Exhibit 7.3'!$A$1:$I$129,9)</f>
        <v>0.39827572704923275</v>
      </c>
      <c r="Q140" s="212"/>
    </row>
    <row r="141" spans="1:17">
      <c r="A141" s="242"/>
      <c r="B141" s="242"/>
      <c r="C141" s="242"/>
      <c r="D141" s="242"/>
      <c r="E141" s="242"/>
      <c r="F141" s="242"/>
      <c r="G141" s="242"/>
      <c r="H141" s="242"/>
      <c r="I141" s="242"/>
      <c r="J141" s="242"/>
      <c r="K141" s="242"/>
      <c r="L141" s="242"/>
      <c r="M141" s="242"/>
      <c r="N141" s="242">
        <f t="shared" si="6"/>
        <v>0.25</v>
      </c>
      <c r="O141" s="246">
        <f t="shared" si="4"/>
        <v>2021.75</v>
      </c>
      <c r="P141" s="247">
        <f ca="1">VLOOKUP(INT(O141),'Exhibit 7.3'!$A$1:$I$129,9)*N141+(1-N141)*VLOOKUP(INT(O141)+1,'Exhibit 7.3'!$A$1:$I$129,9)</f>
        <v>0.39384082530938541</v>
      </c>
      <c r="Q141" s="212"/>
    </row>
    <row r="142" spans="1:17">
      <c r="A142" s="242"/>
      <c r="B142" s="242"/>
      <c r="C142" s="242"/>
      <c r="D142" s="242"/>
      <c r="E142" s="242"/>
      <c r="F142" s="242"/>
      <c r="G142" s="242"/>
      <c r="H142" s="242"/>
      <c r="I142" s="242"/>
      <c r="J142" s="242"/>
      <c r="K142" s="242"/>
      <c r="L142" s="242"/>
      <c r="M142" s="242"/>
      <c r="N142" s="242">
        <f t="shared" si="6"/>
        <v>1</v>
      </c>
      <c r="O142" s="246">
        <f t="shared" si="4"/>
        <v>2022</v>
      </c>
      <c r="P142" s="247">
        <f ca="1">VLOOKUP(INT(O142),'Exhibit 7.3'!$A$1:$I$129,9)*N142+(1-N142)*VLOOKUP(INT(O142)+1,'Exhibit 7.3'!$A$1:$I$129,9)</f>
        <v>0.38940592356953802</v>
      </c>
      <c r="Q142" s="213"/>
    </row>
    <row r="143" spans="1:17">
      <c r="A143" s="242"/>
      <c r="B143" s="242"/>
      <c r="C143" s="242"/>
      <c r="D143" s="242"/>
      <c r="E143" s="242"/>
      <c r="F143" s="242"/>
      <c r="G143" s="242"/>
      <c r="H143" s="242"/>
      <c r="I143" s="242"/>
      <c r="J143" s="242"/>
      <c r="K143" s="242"/>
      <c r="L143" s="242"/>
      <c r="M143" s="242"/>
      <c r="N143" s="242">
        <f t="shared" si="6"/>
        <v>0.75</v>
      </c>
      <c r="O143" s="246">
        <f t="shared" si="4"/>
        <v>2022.25</v>
      </c>
      <c r="P143" s="247">
        <f ca="1">VLOOKUP(INT(O143),'Exhibit 7.3'!$A$1:$I$129,9)*N143+(1-N143)*VLOOKUP(INT(O143)+1,'Exhibit 7.3'!$A$1:$I$129,9)</f>
        <v>0.38739041354306425</v>
      </c>
      <c r="Q143" s="213"/>
    </row>
    <row r="144" spans="1:17">
      <c r="A144" s="242"/>
      <c r="B144" s="242"/>
      <c r="C144" s="242"/>
      <c r="D144" s="242"/>
      <c r="E144" s="242"/>
      <c r="F144" s="242"/>
      <c r="G144" s="242"/>
      <c r="H144" s="242"/>
      <c r="I144" s="242"/>
      <c r="J144" s="242"/>
      <c r="K144" s="242"/>
      <c r="L144" s="242"/>
      <c r="M144" s="242"/>
      <c r="N144" s="242">
        <f t="shared" si="6"/>
        <v>0.5</v>
      </c>
      <c r="O144" s="246">
        <f t="shared" si="4"/>
        <v>2022.5</v>
      </c>
      <c r="P144" s="247">
        <f ca="1">VLOOKUP(INT(O144),'Exhibit 7.3'!$A$1:$I$129,9)*N144+(1-N144)*VLOOKUP(INT(O144)+1,'Exhibit 7.3'!$A$1:$I$129,9)</f>
        <v>0.38537490351659054</v>
      </c>
      <c r="Q144" s="213"/>
    </row>
    <row r="145" spans="1:17">
      <c r="A145" s="242"/>
      <c r="B145" s="242"/>
      <c r="C145" s="242"/>
      <c r="D145" s="242"/>
      <c r="E145" s="242"/>
      <c r="F145" s="242"/>
      <c r="G145" s="242"/>
      <c r="H145" s="242"/>
      <c r="I145" s="242"/>
      <c r="J145" s="242"/>
      <c r="K145" s="242"/>
      <c r="L145" s="242"/>
      <c r="M145" s="242"/>
      <c r="N145" s="242">
        <f t="shared" si="6"/>
        <v>0.25</v>
      </c>
      <c r="O145" s="246">
        <f t="shared" si="4"/>
        <v>2022.75</v>
      </c>
      <c r="P145" s="247">
        <f ca="1">VLOOKUP(INT(O145),'Exhibit 7.3'!$A$1:$I$129,9)*N145+(1-N145)*VLOOKUP(INT(O145)+1,'Exhibit 7.3'!$A$1:$I$129,9)</f>
        <v>0.38335939349011677</v>
      </c>
      <c r="Q145" s="213"/>
    </row>
    <row r="146" spans="1:17">
      <c r="A146" s="242"/>
      <c r="B146" s="242"/>
      <c r="C146" s="242"/>
      <c r="D146" s="242"/>
      <c r="E146" s="242"/>
      <c r="F146" s="242"/>
      <c r="G146" s="242"/>
      <c r="H146" s="242"/>
      <c r="I146" s="242"/>
      <c r="J146" s="242"/>
      <c r="K146" s="242"/>
      <c r="L146" s="242"/>
      <c r="M146" s="242"/>
      <c r="N146" s="242">
        <f t="shared" si="6"/>
        <v>1</v>
      </c>
      <c r="O146" s="246">
        <f t="shared" si="4"/>
        <v>2023</v>
      </c>
      <c r="P146" s="247">
        <f ca="1">VLOOKUP(INT(O146),'Exhibit 7.3'!$A$1:$I$129,9)*N146+(1-N146)*VLOOKUP(INT(O146)+1,'Exhibit 7.3'!$A$1:$I$129,9)</f>
        <v>0.38134388346364301</v>
      </c>
      <c r="Q146" s="247">
        <f ca="1">$P146</f>
        <v>0.38134388346364301</v>
      </c>
    </row>
    <row r="147" spans="1:17">
      <c r="A147" s="242"/>
      <c r="B147" s="242"/>
      <c r="C147" s="242"/>
      <c r="D147" s="242"/>
      <c r="E147" s="242"/>
      <c r="F147" s="242"/>
      <c r="G147" s="242"/>
      <c r="H147" s="242"/>
      <c r="I147" s="242"/>
      <c r="J147" s="242"/>
      <c r="K147" s="242"/>
      <c r="L147" s="242"/>
      <c r="M147" s="242"/>
      <c r="N147" s="242">
        <f t="shared" si="6"/>
        <v>0.75</v>
      </c>
      <c r="O147" s="246">
        <f t="shared" si="4"/>
        <v>2023.25</v>
      </c>
      <c r="P147" s="246"/>
      <c r="Q147" s="247">
        <f ca="1">$Q$146*$N147+(1-$N147)*$Q$150</f>
        <v>0.38284100239243279</v>
      </c>
    </row>
    <row r="148" spans="1:17">
      <c r="A148" s="242"/>
      <c r="B148" s="242"/>
      <c r="C148" s="242"/>
      <c r="D148" s="242"/>
      <c r="E148" s="242"/>
      <c r="F148" s="242"/>
      <c r="G148" s="242"/>
      <c r="H148" s="242"/>
      <c r="I148" s="242"/>
      <c r="J148" s="242"/>
      <c r="K148" s="242"/>
      <c r="L148" s="242"/>
      <c r="M148" s="242"/>
      <c r="N148" s="242">
        <f t="shared" si="6"/>
        <v>0.5</v>
      </c>
      <c r="O148" s="246">
        <f t="shared" si="4"/>
        <v>2023.5</v>
      </c>
      <c r="P148" s="246"/>
      <c r="Q148" s="247">
        <f ca="1">$Q$146*$N148+(1-$N148)*$Q$150</f>
        <v>0.38433812132122258</v>
      </c>
    </row>
    <row r="149" spans="1:17">
      <c r="A149" s="242"/>
      <c r="B149" s="242"/>
      <c r="C149" s="242"/>
      <c r="D149" s="242"/>
      <c r="E149" s="242"/>
      <c r="F149" s="242"/>
      <c r="G149" s="242"/>
      <c r="H149" s="242"/>
      <c r="I149" s="242"/>
      <c r="J149" s="242"/>
      <c r="K149" s="242"/>
      <c r="L149" s="242"/>
      <c r="M149" s="242"/>
      <c r="N149" s="242">
        <f t="shared" ref="N149:N156" si="9">INT(O149)-O149+1</f>
        <v>0.25</v>
      </c>
      <c r="O149" s="246">
        <f t="shared" si="4"/>
        <v>2023.75</v>
      </c>
      <c r="P149" s="246"/>
      <c r="Q149" s="247">
        <f ca="1">$Q$146*$N149+(1-$N149)*$Q$150</f>
        <v>0.38583524025001237</v>
      </c>
    </row>
    <row r="150" spans="1:17">
      <c r="A150" s="242"/>
      <c r="B150" s="242"/>
      <c r="C150" s="242"/>
      <c r="D150" s="242"/>
      <c r="E150" s="242"/>
      <c r="F150" s="242"/>
      <c r="G150" s="242"/>
      <c r="H150" s="242"/>
      <c r="I150" s="242"/>
      <c r="J150" s="242"/>
      <c r="K150" s="242"/>
      <c r="L150" s="242"/>
      <c r="M150" s="242"/>
      <c r="N150" s="242">
        <f t="shared" si="9"/>
        <v>1</v>
      </c>
      <c r="O150" s="246">
        <f t="shared" si="4"/>
        <v>2024</v>
      </c>
      <c r="P150" s="246"/>
      <c r="Q150" s="247">
        <f ca="1">'Exhibit 7.3'!$I$48</f>
        <v>0.3873323591788021</v>
      </c>
    </row>
    <row r="151" spans="1:17">
      <c r="A151" s="242"/>
      <c r="B151" s="242"/>
      <c r="C151" s="242"/>
      <c r="D151" s="242"/>
      <c r="E151" s="242"/>
      <c r="F151" s="242"/>
      <c r="G151" s="242"/>
      <c r="H151" s="242"/>
      <c r="I151" s="242"/>
      <c r="J151" s="242"/>
      <c r="K151" s="242"/>
      <c r="L151" s="242"/>
      <c r="M151" s="242"/>
      <c r="N151" s="242">
        <f t="shared" si="9"/>
        <v>0.75</v>
      </c>
      <c r="O151" s="246">
        <f t="shared" si="4"/>
        <v>2024.25</v>
      </c>
      <c r="Q151" s="247">
        <f ca="1">$Q$150*$N151+(1-$N151)*$Q$154</f>
        <v>0.38860987058678859</v>
      </c>
    </row>
    <row r="152" spans="1:17">
      <c r="A152" s="242"/>
      <c r="B152" s="242"/>
      <c r="C152" s="242"/>
      <c r="D152" s="242"/>
      <c r="E152" s="242"/>
      <c r="F152" s="242"/>
      <c r="G152" s="242"/>
      <c r="H152" s="242"/>
      <c r="I152" s="242"/>
      <c r="J152" s="242"/>
      <c r="K152" s="242"/>
      <c r="L152" s="242"/>
      <c r="M152" s="242"/>
      <c r="N152" s="242">
        <f t="shared" si="9"/>
        <v>0.5</v>
      </c>
      <c r="O152" s="246">
        <f t="shared" si="4"/>
        <v>2024.5</v>
      </c>
      <c r="Q152" s="247">
        <f ca="1">$Q$150*$N152+(1-$N152)*$Q$154</f>
        <v>0.38988738199477502</v>
      </c>
    </row>
    <row r="153" spans="1:17">
      <c r="A153" s="242"/>
      <c r="B153" s="242"/>
      <c r="C153" s="242"/>
      <c r="D153" s="242"/>
      <c r="E153" s="242"/>
      <c r="F153" s="242"/>
      <c r="G153" s="242"/>
      <c r="H153" s="242"/>
      <c r="I153" s="242"/>
      <c r="J153" s="242"/>
      <c r="K153" s="242"/>
      <c r="L153" s="242"/>
      <c r="M153" s="242"/>
      <c r="N153" s="242">
        <f t="shared" si="9"/>
        <v>0.25</v>
      </c>
      <c r="O153" s="246">
        <f t="shared" si="4"/>
        <v>2024.75</v>
      </c>
      <c r="Q153" s="247">
        <f ca="1">$Q$150*$N153+(1-$N153)*$Q$154</f>
        <v>0.3911648934027615</v>
      </c>
    </row>
    <row r="154" spans="1:17">
      <c r="A154" s="242"/>
      <c r="B154" s="242"/>
      <c r="C154" s="242"/>
      <c r="D154" s="242"/>
      <c r="E154" s="242"/>
      <c r="F154" s="242"/>
      <c r="G154" s="242"/>
      <c r="H154" s="242"/>
      <c r="I154" s="242"/>
      <c r="J154" s="242"/>
      <c r="K154" s="242"/>
      <c r="L154" s="242"/>
      <c r="M154" s="242"/>
      <c r="N154" s="242">
        <f t="shared" si="9"/>
        <v>1</v>
      </c>
      <c r="O154" s="246">
        <f t="shared" si="4"/>
        <v>2025</v>
      </c>
      <c r="Q154" s="247">
        <f ca="1">'Exhibit 7.3'!$I$49</f>
        <v>0.39244240481074799</v>
      </c>
    </row>
    <row r="155" spans="1:17">
      <c r="A155" s="242"/>
      <c r="B155" s="242"/>
      <c r="C155" s="242"/>
      <c r="D155" s="242"/>
      <c r="E155" s="242"/>
      <c r="F155" s="242"/>
      <c r="G155" s="242"/>
      <c r="H155" s="242"/>
      <c r="I155" s="242"/>
      <c r="J155" s="242"/>
      <c r="K155" s="242"/>
      <c r="L155" s="242"/>
      <c r="M155" s="242"/>
      <c r="N155" s="242">
        <f t="shared" si="9"/>
        <v>0.75</v>
      </c>
      <c r="O155" s="246">
        <f t="shared" si="4"/>
        <v>2025.25</v>
      </c>
      <c r="Q155" s="247">
        <f ca="1">AVERAGE($Q$154,$Q$156)</f>
        <v>0.39210112485767434</v>
      </c>
    </row>
    <row r="156" spans="1:17">
      <c r="A156" s="242"/>
      <c r="B156" s="242"/>
      <c r="C156" s="242"/>
      <c r="D156" s="242"/>
      <c r="E156" s="242"/>
      <c r="F156" s="242"/>
      <c r="G156" s="242"/>
      <c r="H156" s="242"/>
      <c r="I156" s="242"/>
      <c r="J156" s="242"/>
      <c r="K156" s="242"/>
      <c r="L156" s="242"/>
      <c r="M156" s="242"/>
      <c r="N156" s="242">
        <f t="shared" si="9"/>
        <v>0.5</v>
      </c>
      <c r="O156" s="246">
        <f t="shared" si="4"/>
        <v>2025.5</v>
      </c>
      <c r="Q156" s="247">
        <f ca="1">'Exhibit 7.3'!$I$50</f>
        <v>0.39175984490460075</v>
      </c>
    </row>
    <row r="157" spans="1:17">
      <c r="A157" s="242"/>
      <c r="B157" s="242"/>
      <c r="C157" s="242"/>
      <c r="D157" s="242"/>
      <c r="E157" s="242"/>
      <c r="F157" s="242"/>
      <c r="G157" s="242"/>
      <c r="H157" s="242"/>
      <c r="I157" s="242"/>
      <c r="J157" s="242"/>
      <c r="K157" s="242"/>
      <c r="L157" s="242"/>
      <c r="M157" s="242"/>
    </row>
    <row r="158" spans="1:17">
      <c r="A158" s="242"/>
      <c r="B158" s="242"/>
      <c r="C158" s="242"/>
      <c r="D158" s="242"/>
      <c r="E158" s="242"/>
      <c r="F158" s="242"/>
      <c r="G158" s="242"/>
      <c r="H158" s="242"/>
      <c r="I158" s="242"/>
      <c r="J158" s="242"/>
      <c r="K158" s="242"/>
      <c r="L158" s="242"/>
    </row>
  </sheetData>
  <mergeCells count="1">
    <mergeCell ref="A37:K38"/>
  </mergeCells>
  <pageMargins left="0.5" right="0.5" top="0.75" bottom="0.75" header="0.33" footer="0.33"/>
  <pageSetup scale="94" orientation="portrait" horizontalDpi="1200" verticalDpi="1200" r:id="rId1"/>
  <headerFooter scaleWithDoc="0">
    <oddHeader>&amp;R&amp;"Arial,Regular"&amp;10Exhibit 7.4</oddHeader>
  </headerFooter>
  <colBreaks count="1" manualBreakCount="1">
    <brk id="11"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T18"/>
  <sheetViews>
    <sheetView zoomScaleNormal="100" zoomScaleSheetLayoutView="115" workbookViewId="0"/>
  </sheetViews>
  <sheetFormatPr defaultColWidth="9.140625" defaultRowHeight="12.75"/>
  <cols>
    <col min="1" max="1" width="6.85546875" style="50" customWidth="1"/>
    <col min="2" max="7" width="7.85546875" style="50" customWidth="1"/>
    <col min="8" max="8" width="14" style="50" customWidth="1"/>
    <col min="9" max="9" width="5" style="50" customWidth="1"/>
    <col min="10" max="10" width="1.140625" style="50" customWidth="1"/>
    <col min="11" max="11" width="7.85546875" style="50" customWidth="1"/>
    <col min="12" max="12" width="1.85546875" style="50" customWidth="1"/>
    <col min="13" max="13" width="7.85546875" style="50" customWidth="1"/>
    <col min="14" max="14" width="1.85546875" style="50" customWidth="1"/>
    <col min="15" max="15" width="7.85546875" style="50" customWidth="1"/>
    <col min="16" max="16384" width="9.140625" style="50"/>
  </cols>
  <sheetData>
    <row r="1" spans="1:20" ht="15">
      <c r="A1" s="309" t="s">
        <v>346</v>
      </c>
      <c r="B1" s="309"/>
      <c r="C1" s="309"/>
      <c r="D1" s="309"/>
      <c r="E1" s="309"/>
      <c r="F1" s="309"/>
      <c r="G1" s="309"/>
      <c r="H1" s="309"/>
      <c r="I1" s="309"/>
      <c r="J1" s="309"/>
      <c r="K1" s="309"/>
      <c r="L1" s="309"/>
      <c r="M1" s="309"/>
      <c r="N1" s="309"/>
      <c r="O1" s="309"/>
      <c r="P1" s="172"/>
      <c r="Q1" s="252"/>
      <c r="R1" s="252"/>
      <c r="S1" s="252"/>
    </row>
    <row r="2" spans="1:20" ht="15">
      <c r="A2" s="253" t="s">
        <v>493</v>
      </c>
      <c r="B2" s="253"/>
      <c r="C2" s="253"/>
      <c r="D2" s="253"/>
      <c r="E2" s="253"/>
      <c r="F2" s="253"/>
      <c r="G2" s="253"/>
      <c r="H2" s="253"/>
      <c r="I2" s="253"/>
      <c r="J2" s="253"/>
      <c r="K2" s="253"/>
      <c r="L2" s="253"/>
      <c r="M2" s="253"/>
      <c r="N2" s="253"/>
      <c r="O2" s="253"/>
      <c r="P2" s="172"/>
      <c r="Q2" s="172"/>
      <c r="R2" s="254"/>
      <c r="S2" s="252"/>
      <c r="T2" s="252"/>
    </row>
    <row r="3" spans="1:20">
      <c r="A3" s="253" t="s">
        <v>492</v>
      </c>
      <c r="B3" s="253"/>
      <c r="C3" s="253"/>
      <c r="D3" s="253"/>
      <c r="E3" s="253"/>
      <c r="F3" s="253"/>
      <c r="G3" s="253"/>
      <c r="H3" s="253"/>
      <c r="I3" s="253"/>
      <c r="J3" s="253"/>
      <c r="K3" s="253"/>
      <c r="L3" s="253"/>
      <c r="M3" s="253"/>
      <c r="N3" s="253"/>
      <c r="O3" s="253"/>
      <c r="P3" s="252"/>
      <c r="Q3" s="252"/>
      <c r="R3" s="252"/>
      <c r="S3" s="252"/>
      <c r="T3" s="252"/>
    </row>
    <row r="4" spans="1:20">
      <c r="A4" s="255"/>
      <c r="B4" s="253"/>
      <c r="C4" s="253"/>
      <c r="D4" s="253"/>
      <c r="E4" s="253"/>
      <c r="F4" s="253"/>
      <c r="G4" s="253"/>
      <c r="H4" s="253"/>
      <c r="I4" s="253"/>
      <c r="J4" s="253"/>
      <c r="K4" s="253"/>
      <c r="L4" s="253"/>
      <c r="M4" s="253"/>
      <c r="N4" s="253"/>
      <c r="O4" s="253"/>
      <c r="P4" s="252"/>
      <c r="Q4" s="252"/>
      <c r="R4" s="252"/>
      <c r="S4" s="252"/>
      <c r="T4" s="252"/>
    </row>
    <row r="5" spans="1:20">
      <c r="A5" s="256"/>
      <c r="B5" s="257"/>
      <c r="C5" s="257"/>
      <c r="D5" s="257"/>
      <c r="E5" s="257"/>
      <c r="F5" s="257"/>
      <c r="G5" s="258"/>
      <c r="H5" s="258"/>
      <c r="I5" s="258"/>
      <c r="J5" s="258"/>
      <c r="K5" s="258"/>
      <c r="L5" s="258"/>
      <c r="M5" s="259"/>
      <c r="N5" s="259"/>
      <c r="O5" s="259"/>
      <c r="P5" s="252"/>
      <c r="Q5" s="252"/>
      <c r="R5" s="252"/>
      <c r="S5" s="252"/>
      <c r="T5" s="252"/>
    </row>
    <row r="6" spans="1:20">
      <c r="A6" s="256"/>
      <c r="B6" s="257"/>
      <c r="C6" s="257"/>
      <c r="D6" s="257"/>
      <c r="E6" s="257"/>
      <c r="F6" s="257"/>
      <c r="G6" s="260"/>
      <c r="H6" s="260"/>
      <c r="I6" s="260"/>
      <c r="J6" s="260"/>
      <c r="K6" s="260"/>
      <c r="L6" s="260"/>
      <c r="M6" s="260"/>
      <c r="N6" s="260"/>
      <c r="O6" s="260"/>
      <c r="P6" s="252"/>
      <c r="Q6" s="252"/>
      <c r="R6" s="252"/>
      <c r="S6" s="252"/>
      <c r="T6" s="252"/>
    </row>
    <row r="7" spans="1:20">
      <c r="A7" s="256"/>
      <c r="B7" s="257"/>
      <c r="C7" s="257"/>
      <c r="D7" s="257"/>
      <c r="E7" s="257"/>
      <c r="F7" s="257"/>
      <c r="G7" s="260"/>
      <c r="H7" s="260"/>
      <c r="I7" s="260"/>
      <c r="J7" s="260"/>
      <c r="K7" s="258" t="s">
        <v>3</v>
      </c>
      <c r="L7" s="258"/>
      <c r="M7" s="258" t="s">
        <v>5</v>
      </c>
      <c r="N7" s="258"/>
      <c r="O7" s="258" t="s">
        <v>108</v>
      </c>
      <c r="P7" s="252"/>
      <c r="Q7" s="411" t="s">
        <v>219</v>
      </c>
      <c r="R7" s="412" t="s">
        <v>217</v>
      </c>
      <c r="S7" s="412" t="s">
        <v>220</v>
      </c>
      <c r="T7" s="413" t="s">
        <v>282</v>
      </c>
    </row>
    <row r="8" spans="1:20">
      <c r="A8" s="256"/>
      <c r="B8" s="257"/>
      <c r="C8" s="257"/>
      <c r="D8" s="257"/>
      <c r="E8" s="257"/>
      <c r="F8" s="257"/>
      <c r="G8" s="260"/>
      <c r="H8" s="260"/>
      <c r="I8" s="260"/>
      <c r="J8" s="260"/>
      <c r="K8" s="260"/>
      <c r="L8" s="260"/>
      <c r="M8" s="260"/>
      <c r="N8" s="260"/>
      <c r="O8" s="260"/>
      <c r="P8" s="252"/>
      <c r="Q8" s="414"/>
      <c r="T8" s="415"/>
    </row>
    <row r="9" spans="1:20" ht="28.5" customHeight="1">
      <c r="A9" s="261" t="s">
        <v>213</v>
      </c>
      <c r="B9" s="458" t="s">
        <v>333</v>
      </c>
      <c r="C9" s="458"/>
      <c r="D9" s="458"/>
      <c r="E9" s="458"/>
      <c r="F9" s="458"/>
      <c r="G9" s="458"/>
      <c r="H9" s="458"/>
      <c r="I9" s="260"/>
      <c r="J9" s="260"/>
      <c r="K9" s="262">
        <f ca="1">+ROUND('Exhibit 7.1'!I50,3)</f>
        <v>0.35399999999999998</v>
      </c>
      <c r="L9" s="262"/>
      <c r="M9" s="262">
        <f ca="1">+ROUND('Exhibit 7.3'!I50,3)</f>
        <v>0.39200000000000002</v>
      </c>
      <c r="N9" s="262"/>
      <c r="O9" s="262">
        <f ca="1">ROUND(M9,3)+ROUND(K9,3)</f>
        <v>0.746</v>
      </c>
      <c r="P9" s="252"/>
      <c r="Q9" s="416">
        <v>0.17</v>
      </c>
      <c r="R9" s="417">
        <v>3.1E-2</v>
      </c>
      <c r="S9" s="417">
        <v>0.13900000000000001</v>
      </c>
      <c r="T9" s="418">
        <f>SUM(Q9:S9)</f>
        <v>0.34</v>
      </c>
    </row>
    <row r="10" spans="1:20">
      <c r="A10" s="256"/>
      <c r="B10" s="252"/>
      <c r="C10" s="252"/>
      <c r="D10" s="252"/>
      <c r="E10" s="252"/>
      <c r="F10" s="252"/>
      <c r="G10" s="260"/>
      <c r="H10" s="260"/>
      <c r="I10" s="260"/>
      <c r="J10" s="260"/>
      <c r="K10" s="260"/>
      <c r="L10" s="260"/>
      <c r="M10" s="260"/>
      <c r="N10" s="260"/>
      <c r="O10" s="260"/>
      <c r="P10" s="252"/>
    </row>
    <row r="11" spans="1:20" ht="15" customHeight="1">
      <c r="A11" s="308" t="s">
        <v>247</v>
      </c>
      <c r="B11" s="252" t="s">
        <v>214</v>
      </c>
      <c r="C11" s="131"/>
      <c r="D11" s="131"/>
      <c r="E11" s="131"/>
      <c r="F11" s="131"/>
      <c r="G11" s="131"/>
      <c r="H11" s="131"/>
      <c r="I11" s="131"/>
      <c r="J11" s="263"/>
      <c r="K11" s="264"/>
      <c r="L11" s="264"/>
      <c r="M11" s="264"/>
      <c r="N11" s="55"/>
      <c r="O11" s="55">
        <f>1+$T$9</f>
        <v>1.34</v>
      </c>
      <c r="P11" s="252"/>
      <c r="Q11" s="252"/>
      <c r="R11" s="252"/>
      <c r="S11" s="252"/>
      <c r="T11" s="305"/>
    </row>
    <row r="12" spans="1:20" ht="15" customHeight="1">
      <c r="A12" s="43"/>
      <c r="B12" s="252" t="s">
        <v>406</v>
      </c>
      <c r="C12" s="131"/>
      <c r="D12" s="131"/>
      <c r="E12" s="131"/>
      <c r="F12" s="131"/>
      <c r="G12" s="131"/>
      <c r="H12" s="131"/>
      <c r="I12" s="131"/>
      <c r="J12" s="263"/>
      <c r="K12" s="264"/>
      <c r="L12" s="264"/>
      <c r="M12" s="264"/>
      <c r="N12" s="55"/>
      <c r="O12" s="143"/>
      <c r="P12" s="252"/>
      <c r="Q12" s="252"/>
      <c r="R12" s="252"/>
      <c r="S12" s="252"/>
      <c r="T12" s="305"/>
    </row>
    <row r="13" spans="1:20" ht="12.75" customHeight="1">
      <c r="A13" s="43"/>
      <c r="B13" s="306"/>
      <c r="C13" s="306"/>
      <c r="D13" s="306"/>
      <c r="E13" s="306"/>
      <c r="F13" s="306"/>
      <c r="G13" s="306"/>
      <c r="H13" s="306"/>
      <c r="I13" s="307"/>
      <c r="J13" s="263"/>
      <c r="K13" s="264"/>
      <c r="L13" s="264"/>
      <c r="M13" s="264"/>
      <c r="N13" s="55"/>
      <c r="O13" s="264"/>
      <c r="P13" s="252"/>
      <c r="Q13" s="252"/>
      <c r="R13" s="252"/>
      <c r="S13" s="252"/>
      <c r="T13" s="305"/>
    </row>
    <row r="14" spans="1:20" ht="39.75" customHeight="1">
      <c r="A14" s="261" t="s">
        <v>248</v>
      </c>
      <c r="B14" s="436" t="s">
        <v>385</v>
      </c>
      <c r="C14" s="436"/>
      <c r="D14" s="436"/>
      <c r="E14" s="436"/>
      <c r="F14" s="436"/>
      <c r="G14" s="436"/>
      <c r="H14" s="436"/>
      <c r="I14" s="436"/>
      <c r="J14" s="436"/>
      <c r="K14" s="436"/>
      <c r="L14" s="264"/>
      <c r="M14" s="264"/>
      <c r="N14" s="55"/>
      <c r="O14" s="264">
        <f ca="1">O11*O9</f>
        <v>0.99964000000000008</v>
      </c>
      <c r="P14" s="252"/>
      <c r="Q14" s="252"/>
      <c r="R14" s="252"/>
      <c r="S14" s="252"/>
      <c r="T14" s="252"/>
    </row>
    <row r="15" spans="1:20" ht="12.75" customHeight="1">
      <c r="A15" s="261"/>
      <c r="B15" s="306"/>
      <c r="C15" s="306"/>
      <c r="D15" s="306"/>
      <c r="E15" s="306"/>
      <c r="F15" s="306"/>
      <c r="G15" s="306"/>
      <c r="H15" s="306"/>
      <c r="I15" s="306"/>
      <c r="J15" s="306"/>
      <c r="K15" s="306"/>
      <c r="L15" s="264"/>
      <c r="M15" s="264"/>
      <c r="N15" s="55"/>
      <c r="O15" s="264"/>
      <c r="P15" s="252"/>
      <c r="Q15" s="252"/>
      <c r="R15" s="252"/>
      <c r="S15" s="252"/>
      <c r="T15" s="252"/>
    </row>
    <row r="16" spans="1:20" ht="39.75" customHeight="1">
      <c r="A16" s="43" t="s">
        <v>215</v>
      </c>
      <c r="B16" s="436" t="s">
        <v>494</v>
      </c>
      <c r="C16" s="436"/>
      <c r="D16" s="436"/>
      <c r="E16" s="436"/>
      <c r="F16" s="436"/>
      <c r="G16" s="436"/>
      <c r="H16" s="436"/>
      <c r="I16" s="436"/>
      <c r="J16" s="436"/>
      <c r="K16" s="436"/>
      <c r="L16" s="265"/>
      <c r="M16" s="265"/>
      <c r="N16" s="20"/>
      <c r="O16" s="143">
        <v>8.9999999999999993E-3</v>
      </c>
      <c r="P16" s="252"/>
      <c r="Q16" s="252"/>
      <c r="R16" s="252"/>
      <c r="S16" s="252"/>
    </row>
    <row r="17" spans="1:20">
      <c r="A17" s="43"/>
      <c r="B17" s="252"/>
      <c r="C17" s="252"/>
      <c r="D17" s="252"/>
      <c r="E17" s="252"/>
      <c r="F17" s="252"/>
      <c r="G17" s="252"/>
      <c r="H17" s="252"/>
      <c r="I17" s="252"/>
      <c r="J17" s="252"/>
      <c r="K17" s="252"/>
      <c r="L17" s="252"/>
      <c r="M17" s="252"/>
      <c r="N17" s="252"/>
      <c r="O17" s="252"/>
      <c r="P17" s="252"/>
      <c r="Q17" s="252"/>
      <c r="R17" s="252"/>
      <c r="S17" s="252"/>
      <c r="T17" s="252"/>
    </row>
    <row r="18" spans="1:20" ht="40.35" customHeight="1">
      <c r="A18" s="43" t="s">
        <v>243</v>
      </c>
      <c r="B18" s="441" t="s">
        <v>386</v>
      </c>
      <c r="C18" s="441"/>
      <c r="D18" s="441"/>
      <c r="E18" s="441"/>
      <c r="F18" s="441"/>
      <c r="G18" s="441"/>
      <c r="H18" s="441"/>
      <c r="I18" s="459"/>
      <c r="J18" s="263"/>
      <c r="K18" s="264"/>
      <c r="L18" s="264"/>
      <c r="M18" s="264"/>
      <c r="N18" s="55"/>
      <c r="O18" s="266">
        <f ca="1">+ROUND(O14*(1+O16)-1,3)</f>
        <v>8.9999999999999993E-3</v>
      </c>
      <c r="P18" s="252"/>
      <c r="Q18" s="252"/>
      <c r="R18" s="252"/>
      <c r="S18" s="252"/>
      <c r="T18" s="252"/>
    </row>
  </sheetData>
  <sheetProtection selectLockedCells="1"/>
  <mergeCells count="4">
    <mergeCell ref="B9:H9"/>
    <mergeCell ref="B18:I18"/>
    <mergeCell ref="B16:K16"/>
    <mergeCell ref="B14:K14"/>
  </mergeCells>
  <printOptions horizontalCentered="1"/>
  <pageMargins left="0.5" right="0.5" top="0.75" bottom="0.75" header="0.33" footer="0.33"/>
  <pageSetup scale="94" orientation="portrait" blackAndWhite="1" r:id="rId1"/>
  <headerFooter scaleWithDoc="0">
    <oddHeader>&amp;R&amp;"Arial,Regular"&amp;10Exhibit 8</oddHeader>
  </headerFooter>
  <ignoredErrors>
    <ignoredError sqref="B3:O3 B17:N17 B10:J10 C9:J9 J18:N18 A5:O8 L9 N9:O9 K10:O10 K9 K11:O13 M9 O14 T9" unlockedFormula="1"/>
    <ignoredError sqref="A9:A10" numberStoredAsText="1" unlockedFormula="1"/>
    <ignoredError sqref="A11:A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37"/>
  <sheetViews>
    <sheetView zoomScaleNormal="100" zoomScaleSheetLayoutView="100" workbookViewId="0"/>
  </sheetViews>
  <sheetFormatPr defaultColWidth="9.140625" defaultRowHeight="12.75"/>
  <cols>
    <col min="1" max="1" width="14" style="60" customWidth="1"/>
    <col min="2" max="17" width="7.85546875" style="60" customWidth="1"/>
    <col min="18" max="16384" width="9.140625" style="60"/>
  </cols>
  <sheetData>
    <row r="1" spans="1:17" ht="13.35" customHeight="1">
      <c r="A1" s="112" t="s">
        <v>25</v>
      </c>
      <c r="B1" s="112"/>
      <c r="C1" s="112"/>
      <c r="D1" s="112"/>
      <c r="E1" s="112"/>
      <c r="F1" s="112"/>
      <c r="G1" s="112"/>
      <c r="H1" s="112"/>
      <c r="I1" s="112"/>
      <c r="J1" s="112"/>
      <c r="K1" s="112"/>
      <c r="L1" s="112"/>
      <c r="M1" s="112"/>
      <c r="N1" s="112"/>
      <c r="O1" s="112"/>
      <c r="P1" s="112"/>
      <c r="Q1" s="112"/>
    </row>
    <row r="2" spans="1:17" ht="13.35" customHeight="1">
      <c r="A2" s="58"/>
      <c r="B2" s="58"/>
      <c r="C2" s="58"/>
      <c r="D2" s="58"/>
      <c r="E2" s="58"/>
      <c r="F2" s="58"/>
      <c r="G2" s="58"/>
      <c r="H2" s="58"/>
      <c r="I2" s="58"/>
      <c r="J2" s="58"/>
      <c r="K2" s="58"/>
      <c r="L2" s="58"/>
      <c r="M2" s="58"/>
      <c r="N2" s="58"/>
      <c r="O2" s="58"/>
      <c r="P2" s="58"/>
      <c r="Q2" s="58"/>
    </row>
    <row r="3" spans="1:17" ht="13.35" customHeight="1">
      <c r="A3" s="59"/>
      <c r="B3" s="113" t="s">
        <v>232</v>
      </c>
      <c r="C3" s="113"/>
      <c r="D3" s="113"/>
      <c r="E3" s="113"/>
      <c r="F3" s="113"/>
      <c r="G3" s="113"/>
      <c r="H3" s="113"/>
      <c r="I3" s="113"/>
      <c r="J3" s="113"/>
      <c r="K3" s="113"/>
      <c r="L3" s="113"/>
      <c r="M3" s="113"/>
      <c r="N3" s="113"/>
      <c r="O3" s="113"/>
      <c r="P3" s="113"/>
      <c r="Q3" s="113"/>
    </row>
    <row r="4" spans="1:17" ht="13.35" customHeight="1">
      <c r="A4" s="6" t="s">
        <v>19</v>
      </c>
      <c r="B4" s="6" t="s">
        <v>422</v>
      </c>
      <c r="C4" s="6" t="s">
        <v>423</v>
      </c>
      <c r="D4" s="6" t="s">
        <v>424</v>
      </c>
      <c r="E4" s="6" t="s">
        <v>425</v>
      </c>
      <c r="F4" s="6" t="s">
        <v>426</v>
      </c>
      <c r="G4" s="6" t="s">
        <v>427</v>
      </c>
      <c r="H4" s="6" t="s">
        <v>428</v>
      </c>
      <c r="I4" s="6" t="s">
        <v>429</v>
      </c>
      <c r="J4" s="6" t="s">
        <v>430</v>
      </c>
      <c r="K4" s="6" t="s">
        <v>431</v>
      </c>
      <c r="L4" s="6" t="s">
        <v>432</v>
      </c>
      <c r="M4" s="6" t="s">
        <v>433</v>
      </c>
      <c r="N4" s="6" t="s">
        <v>434</v>
      </c>
      <c r="O4" s="6" t="s">
        <v>435</v>
      </c>
      <c r="P4" s="6" t="s">
        <v>436</v>
      </c>
      <c r="Q4" s="6" t="s">
        <v>437</v>
      </c>
    </row>
    <row r="5" spans="1:17" s="90" customFormat="1" ht="13.35" customHeight="1">
      <c r="A5" s="7">
        <f>+A6-1</f>
        <v>1996</v>
      </c>
      <c r="B5" s="350" t="s">
        <v>31</v>
      </c>
      <c r="C5" s="350" t="s">
        <v>31</v>
      </c>
      <c r="D5" s="350" t="s">
        <v>31</v>
      </c>
      <c r="E5" s="350" t="s">
        <v>31</v>
      </c>
      <c r="F5" s="350" t="s">
        <v>31</v>
      </c>
      <c r="G5" s="350" t="s">
        <v>31</v>
      </c>
      <c r="H5" s="350" t="s">
        <v>31</v>
      </c>
      <c r="I5" s="350" t="s">
        <v>31</v>
      </c>
      <c r="J5" s="350" t="s">
        <v>31</v>
      </c>
      <c r="K5" s="350" t="s">
        <v>31</v>
      </c>
      <c r="L5" s="350" t="s">
        <v>31</v>
      </c>
      <c r="M5" s="350" t="s">
        <v>31</v>
      </c>
      <c r="N5" s="350" t="s">
        <v>31</v>
      </c>
      <c r="O5" s="350">
        <v>1.0129999999999999</v>
      </c>
      <c r="P5" s="350">
        <v>1.014</v>
      </c>
      <c r="Q5" s="350">
        <v>1.0049999999999999</v>
      </c>
    </row>
    <row r="6" spans="1:17" ht="13.35" customHeight="1">
      <c r="A6" s="7">
        <f t="shared" ref="A6:A30" si="0">+A7-1</f>
        <v>1997</v>
      </c>
      <c r="B6" s="350" t="s">
        <v>31</v>
      </c>
      <c r="C6" s="350" t="s">
        <v>31</v>
      </c>
      <c r="D6" s="350" t="s">
        <v>31</v>
      </c>
      <c r="E6" s="350" t="s">
        <v>31</v>
      </c>
      <c r="F6" s="350" t="s">
        <v>31</v>
      </c>
      <c r="G6" s="350" t="s">
        <v>31</v>
      </c>
      <c r="H6" s="350" t="s">
        <v>31</v>
      </c>
      <c r="I6" s="350" t="s">
        <v>31</v>
      </c>
      <c r="J6" s="350" t="s">
        <v>31</v>
      </c>
      <c r="K6" s="350" t="s">
        <v>31</v>
      </c>
      <c r="L6" s="350" t="s">
        <v>31</v>
      </c>
      <c r="M6" s="350" t="s">
        <v>31</v>
      </c>
      <c r="N6" s="350">
        <v>1.0149999999999999</v>
      </c>
      <c r="O6" s="350">
        <v>1.012</v>
      </c>
      <c r="P6" s="350">
        <v>1.0029999999999999</v>
      </c>
      <c r="Q6" s="350">
        <v>1.0069999999999999</v>
      </c>
    </row>
    <row r="7" spans="1:17" ht="13.35" customHeight="1">
      <c r="A7" s="7">
        <f t="shared" si="0"/>
        <v>1998</v>
      </c>
      <c r="B7" s="350" t="s">
        <v>31</v>
      </c>
      <c r="C7" s="350" t="s">
        <v>31</v>
      </c>
      <c r="D7" s="350" t="s">
        <v>31</v>
      </c>
      <c r="E7" s="350" t="s">
        <v>31</v>
      </c>
      <c r="F7" s="350" t="s">
        <v>31</v>
      </c>
      <c r="G7" s="350" t="s">
        <v>31</v>
      </c>
      <c r="H7" s="350" t="s">
        <v>31</v>
      </c>
      <c r="I7" s="350" t="s">
        <v>31</v>
      </c>
      <c r="J7" s="350" t="s">
        <v>31</v>
      </c>
      <c r="K7" s="350" t="s">
        <v>31</v>
      </c>
      <c r="L7" s="350" t="s">
        <v>31</v>
      </c>
      <c r="M7" s="350">
        <v>1.0169999999999999</v>
      </c>
      <c r="N7" s="350">
        <v>1.004</v>
      </c>
      <c r="O7" s="350">
        <v>1.014</v>
      </c>
      <c r="P7" s="350">
        <v>1.008</v>
      </c>
      <c r="Q7" s="350">
        <v>1.012</v>
      </c>
    </row>
    <row r="8" spans="1:17" ht="13.35" customHeight="1">
      <c r="A8" s="7">
        <f t="shared" si="0"/>
        <v>1999</v>
      </c>
      <c r="B8" s="350" t="s">
        <v>31</v>
      </c>
      <c r="C8" s="350" t="s">
        <v>31</v>
      </c>
      <c r="D8" s="350" t="s">
        <v>31</v>
      </c>
      <c r="E8" s="350" t="s">
        <v>31</v>
      </c>
      <c r="F8" s="350" t="s">
        <v>31</v>
      </c>
      <c r="G8" s="350" t="s">
        <v>31</v>
      </c>
      <c r="H8" s="350" t="s">
        <v>31</v>
      </c>
      <c r="I8" s="350" t="s">
        <v>31</v>
      </c>
      <c r="J8" s="350" t="s">
        <v>31</v>
      </c>
      <c r="K8" s="350" t="s">
        <v>31</v>
      </c>
      <c r="L8" s="350">
        <v>1.018</v>
      </c>
      <c r="M8" s="350">
        <v>1.0129999999999999</v>
      </c>
      <c r="N8" s="350">
        <v>1.0109999999999999</v>
      </c>
      <c r="O8" s="350">
        <v>1.0129999999999999</v>
      </c>
      <c r="P8" s="350">
        <v>1.0049999999999999</v>
      </c>
      <c r="Q8" s="350">
        <v>0.999</v>
      </c>
    </row>
    <row r="9" spans="1:17" ht="13.35" customHeight="1">
      <c r="A9" s="7">
        <f t="shared" si="0"/>
        <v>2000</v>
      </c>
      <c r="B9" s="350" t="s">
        <v>31</v>
      </c>
      <c r="C9" s="350" t="s">
        <v>31</v>
      </c>
      <c r="D9" s="350" t="s">
        <v>31</v>
      </c>
      <c r="E9" s="350" t="s">
        <v>31</v>
      </c>
      <c r="F9" s="350" t="s">
        <v>31</v>
      </c>
      <c r="G9" s="350" t="s">
        <v>31</v>
      </c>
      <c r="H9" s="350" t="s">
        <v>31</v>
      </c>
      <c r="I9" s="350" t="s">
        <v>31</v>
      </c>
      <c r="J9" s="350" t="s">
        <v>31</v>
      </c>
      <c r="K9" s="350">
        <v>1.024</v>
      </c>
      <c r="L9" s="350">
        <v>1.018</v>
      </c>
      <c r="M9" s="350">
        <v>1.018</v>
      </c>
      <c r="N9" s="350">
        <v>1.012</v>
      </c>
      <c r="O9" s="350">
        <v>1.006</v>
      </c>
      <c r="P9" s="350">
        <v>0.999</v>
      </c>
      <c r="Q9" s="350">
        <v>0.995</v>
      </c>
    </row>
    <row r="10" spans="1:17" ht="13.35" customHeight="1">
      <c r="A10" s="7">
        <f t="shared" si="0"/>
        <v>2001</v>
      </c>
      <c r="B10" s="350" t="s">
        <v>31</v>
      </c>
      <c r="C10" s="350" t="s">
        <v>31</v>
      </c>
      <c r="D10" s="350" t="s">
        <v>31</v>
      </c>
      <c r="E10" s="350" t="s">
        <v>31</v>
      </c>
      <c r="F10" s="350" t="s">
        <v>31</v>
      </c>
      <c r="G10" s="350" t="s">
        <v>31</v>
      </c>
      <c r="H10" s="350" t="s">
        <v>31</v>
      </c>
      <c r="I10" s="350" t="s">
        <v>31</v>
      </c>
      <c r="J10" s="350">
        <v>1.0349999999999999</v>
      </c>
      <c r="K10" s="350">
        <v>1.022</v>
      </c>
      <c r="L10" s="350">
        <v>1.0169999999999999</v>
      </c>
      <c r="M10" s="350">
        <v>1.0149999999999999</v>
      </c>
      <c r="N10" s="350">
        <v>1.0129999999999999</v>
      </c>
      <c r="O10" s="350">
        <v>1.0009999999999999</v>
      </c>
      <c r="P10" s="350">
        <v>0.997</v>
      </c>
      <c r="Q10" s="350">
        <v>0.99399999999999999</v>
      </c>
    </row>
    <row r="11" spans="1:17" ht="13.35" customHeight="1">
      <c r="A11" s="7">
        <f t="shared" si="0"/>
        <v>2002</v>
      </c>
      <c r="B11" s="350" t="s">
        <v>31</v>
      </c>
      <c r="C11" s="350" t="s">
        <v>31</v>
      </c>
      <c r="D11" s="350" t="s">
        <v>31</v>
      </c>
      <c r="E11" s="350" t="s">
        <v>31</v>
      </c>
      <c r="F11" s="350" t="s">
        <v>31</v>
      </c>
      <c r="G11" s="350" t="s">
        <v>31</v>
      </c>
      <c r="H11" s="350" t="s">
        <v>31</v>
      </c>
      <c r="I11" s="350">
        <v>1.0289999999999999</v>
      </c>
      <c r="J11" s="350">
        <v>1.028</v>
      </c>
      <c r="K11" s="350">
        <v>1.022</v>
      </c>
      <c r="L11" s="350">
        <v>1.014</v>
      </c>
      <c r="M11" s="350">
        <v>1.01</v>
      </c>
      <c r="N11" s="350">
        <v>0.999</v>
      </c>
      <c r="O11" s="350">
        <v>0.997</v>
      </c>
      <c r="P11" s="350">
        <v>1</v>
      </c>
      <c r="Q11" s="350">
        <v>0.999</v>
      </c>
    </row>
    <row r="12" spans="1:17" ht="13.35" customHeight="1">
      <c r="A12" s="7">
        <f t="shared" si="0"/>
        <v>2003</v>
      </c>
      <c r="B12" s="350" t="s">
        <v>31</v>
      </c>
      <c r="C12" s="350" t="s">
        <v>31</v>
      </c>
      <c r="D12" s="350" t="s">
        <v>31</v>
      </c>
      <c r="E12" s="350" t="s">
        <v>31</v>
      </c>
      <c r="F12" s="350" t="s">
        <v>31</v>
      </c>
      <c r="G12" s="350" t="s">
        <v>31</v>
      </c>
      <c r="H12" s="350">
        <v>1.042</v>
      </c>
      <c r="I12" s="350">
        <v>1.0369999999999999</v>
      </c>
      <c r="J12" s="350">
        <v>1.0289999999999999</v>
      </c>
      <c r="K12" s="350">
        <v>1.018</v>
      </c>
      <c r="L12" s="350">
        <v>1.0109999999999999</v>
      </c>
      <c r="M12" s="350">
        <v>1.0029999999999999</v>
      </c>
      <c r="N12" s="350">
        <v>0.998</v>
      </c>
      <c r="O12" s="350">
        <v>0.999</v>
      </c>
      <c r="P12" s="350">
        <v>1.0009999999999999</v>
      </c>
      <c r="Q12" s="350">
        <v>1.006</v>
      </c>
    </row>
    <row r="13" spans="1:17" ht="13.35" customHeight="1">
      <c r="A13" s="7">
        <f t="shared" si="0"/>
        <v>2004</v>
      </c>
      <c r="B13" s="350" t="s">
        <v>31</v>
      </c>
      <c r="C13" s="350" t="s">
        <v>31</v>
      </c>
      <c r="D13" s="350" t="s">
        <v>31</v>
      </c>
      <c r="E13" s="350" t="s">
        <v>31</v>
      </c>
      <c r="F13" s="350" t="s">
        <v>31</v>
      </c>
      <c r="G13" s="350">
        <v>1.0609999999999999</v>
      </c>
      <c r="H13" s="350">
        <v>1.0429999999999999</v>
      </c>
      <c r="I13" s="350">
        <v>1.032</v>
      </c>
      <c r="J13" s="350">
        <v>1.026</v>
      </c>
      <c r="K13" s="350">
        <v>1.012</v>
      </c>
      <c r="L13" s="350">
        <v>1.006</v>
      </c>
      <c r="M13" s="350">
        <v>1.0009999999999999</v>
      </c>
      <c r="N13" s="350">
        <v>0.996</v>
      </c>
      <c r="O13" s="350">
        <v>0.998</v>
      </c>
      <c r="P13" s="350">
        <v>1.002</v>
      </c>
      <c r="Q13" s="350">
        <v>1</v>
      </c>
    </row>
    <row r="14" spans="1:17" ht="13.35" customHeight="1">
      <c r="A14" s="7">
        <f t="shared" si="0"/>
        <v>2005</v>
      </c>
      <c r="B14" s="350" t="s">
        <v>31</v>
      </c>
      <c r="C14" s="350" t="s">
        <v>31</v>
      </c>
      <c r="D14" s="350" t="s">
        <v>31</v>
      </c>
      <c r="E14" s="350" t="s">
        <v>31</v>
      </c>
      <c r="F14" s="350">
        <v>1.0840000000000001</v>
      </c>
      <c r="G14" s="350">
        <v>1.0549999999999999</v>
      </c>
      <c r="H14" s="350">
        <v>1.0449999999999999</v>
      </c>
      <c r="I14" s="350">
        <v>1.032</v>
      </c>
      <c r="J14" s="350">
        <v>1.02</v>
      </c>
      <c r="K14" s="350">
        <v>1.006</v>
      </c>
      <c r="L14" s="350">
        <v>1.006</v>
      </c>
      <c r="M14" s="350">
        <v>0.999</v>
      </c>
      <c r="N14" s="350">
        <v>1</v>
      </c>
      <c r="O14" s="350">
        <v>1</v>
      </c>
      <c r="P14" s="350">
        <v>1</v>
      </c>
      <c r="Q14" s="350">
        <v>0.998</v>
      </c>
    </row>
    <row r="15" spans="1:17" ht="13.35" customHeight="1">
      <c r="A15" s="7">
        <f t="shared" si="0"/>
        <v>2006</v>
      </c>
      <c r="B15" s="350" t="s">
        <v>31</v>
      </c>
      <c r="C15" s="350" t="s">
        <v>31</v>
      </c>
      <c r="D15" s="350" t="s">
        <v>31</v>
      </c>
      <c r="E15" s="350">
        <v>1.081</v>
      </c>
      <c r="F15" s="350">
        <v>1.0660000000000001</v>
      </c>
      <c r="G15" s="350">
        <v>1.048</v>
      </c>
      <c r="H15" s="350">
        <v>1.04</v>
      </c>
      <c r="I15" s="350">
        <v>1.022</v>
      </c>
      <c r="J15" s="350">
        <v>1.012</v>
      </c>
      <c r="K15" s="350">
        <v>1</v>
      </c>
      <c r="L15" s="350">
        <v>1.0009999999999999</v>
      </c>
      <c r="M15" s="350">
        <v>1.006</v>
      </c>
      <c r="N15" s="350">
        <v>0.999</v>
      </c>
      <c r="O15" s="350">
        <v>1.0029999999999999</v>
      </c>
      <c r="P15" s="350">
        <v>1</v>
      </c>
      <c r="Q15" s="350">
        <v>1.0029999999999999</v>
      </c>
    </row>
    <row r="16" spans="1:17" ht="13.35" customHeight="1">
      <c r="A16" s="7">
        <f t="shared" si="0"/>
        <v>2007</v>
      </c>
      <c r="B16" s="350" t="s">
        <v>31</v>
      </c>
      <c r="C16" s="350" t="s">
        <v>31</v>
      </c>
      <c r="D16" s="350">
        <v>1.1240000000000001</v>
      </c>
      <c r="E16" s="350">
        <v>1.081</v>
      </c>
      <c r="F16" s="350">
        <v>1.07</v>
      </c>
      <c r="G16" s="350">
        <v>1.05</v>
      </c>
      <c r="H16" s="350">
        <v>1.032</v>
      </c>
      <c r="I16" s="350">
        <v>1.018</v>
      </c>
      <c r="J16" s="350">
        <v>1.004</v>
      </c>
      <c r="K16" s="350">
        <v>1.008</v>
      </c>
      <c r="L16" s="350">
        <v>1.0009999999999999</v>
      </c>
      <c r="M16" s="350">
        <v>1.004</v>
      </c>
      <c r="N16" s="350">
        <v>0.996</v>
      </c>
      <c r="O16" s="350">
        <v>0.999</v>
      </c>
      <c r="P16" s="350">
        <v>1</v>
      </c>
      <c r="Q16" s="350">
        <v>0.999</v>
      </c>
    </row>
    <row r="17" spans="1:17" ht="13.35" customHeight="1">
      <c r="A17" s="7">
        <f t="shared" si="0"/>
        <v>2008</v>
      </c>
      <c r="B17" s="350" t="s">
        <v>31</v>
      </c>
      <c r="C17" s="350">
        <v>1.212</v>
      </c>
      <c r="D17" s="350">
        <v>1.129</v>
      </c>
      <c r="E17" s="350">
        <v>1.0920000000000001</v>
      </c>
      <c r="F17" s="350">
        <v>1.0609999999999999</v>
      </c>
      <c r="G17" s="350">
        <v>1.0409999999999999</v>
      </c>
      <c r="H17" s="350">
        <v>1.026</v>
      </c>
      <c r="I17" s="350">
        <v>1.01</v>
      </c>
      <c r="J17" s="350">
        <v>1.0049999999999999</v>
      </c>
      <c r="K17" s="350">
        <v>1.002</v>
      </c>
      <c r="L17" s="350">
        <v>1.0049999999999999</v>
      </c>
      <c r="M17" s="350">
        <v>0.999</v>
      </c>
      <c r="N17" s="350">
        <v>0.999</v>
      </c>
      <c r="O17" s="350">
        <v>1.0009999999999999</v>
      </c>
      <c r="P17" s="350">
        <v>1.0009999999999999</v>
      </c>
      <c r="Q17" s="350" t="s">
        <v>31</v>
      </c>
    </row>
    <row r="18" spans="1:17" ht="13.35" customHeight="1">
      <c r="A18" s="7">
        <f t="shared" si="0"/>
        <v>2009</v>
      </c>
      <c r="B18" s="350">
        <v>1.6040000000000001</v>
      </c>
      <c r="C18" s="350">
        <v>1.2270000000000001</v>
      </c>
      <c r="D18" s="350">
        <v>1.1399999999999999</v>
      </c>
      <c r="E18" s="350">
        <v>1.087</v>
      </c>
      <c r="F18" s="350">
        <v>1.0609999999999999</v>
      </c>
      <c r="G18" s="350">
        <v>1.03</v>
      </c>
      <c r="H18" s="350">
        <v>1.016</v>
      </c>
      <c r="I18" s="350">
        <v>1.0069999999999999</v>
      </c>
      <c r="J18" s="350">
        <v>1.006</v>
      </c>
      <c r="K18" s="350">
        <v>1.008</v>
      </c>
      <c r="L18" s="350">
        <v>1.0009999999999999</v>
      </c>
      <c r="M18" s="350">
        <v>1.0029999999999999</v>
      </c>
      <c r="N18" s="350">
        <v>1.0029999999999999</v>
      </c>
      <c r="O18" s="350">
        <v>1.004</v>
      </c>
      <c r="P18" s="350" t="s">
        <v>31</v>
      </c>
      <c r="Q18" s="350" t="s">
        <v>31</v>
      </c>
    </row>
    <row r="19" spans="1:17" ht="13.35" customHeight="1">
      <c r="A19" s="7">
        <f t="shared" si="0"/>
        <v>2010</v>
      </c>
      <c r="B19" s="350">
        <v>1.62</v>
      </c>
      <c r="C19" s="350">
        <v>1.2450000000000001</v>
      </c>
      <c r="D19" s="350">
        <v>1.1339999999999999</v>
      </c>
      <c r="E19" s="350">
        <v>1.077</v>
      </c>
      <c r="F19" s="350">
        <v>1.0449999999999999</v>
      </c>
      <c r="G19" s="350">
        <v>1.0249999999999999</v>
      </c>
      <c r="H19" s="350">
        <v>1.012</v>
      </c>
      <c r="I19" s="350">
        <v>1.008</v>
      </c>
      <c r="J19" s="350">
        <v>1.01</v>
      </c>
      <c r="K19" s="350">
        <v>1.0049999999999999</v>
      </c>
      <c r="L19" s="350">
        <v>0.999</v>
      </c>
      <c r="M19" s="350">
        <v>1.002</v>
      </c>
      <c r="N19" s="350">
        <v>0.999</v>
      </c>
      <c r="O19" s="350" t="s">
        <v>31</v>
      </c>
      <c r="P19" s="350" t="s">
        <v>31</v>
      </c>
      <c r="Q19" s="350" t="s">
        <v>31</v>
      </c>
    </row>
    <row r="20" spans="1:17" ht="13.35" customHeight="1">
      <c r="A20" s="7">
        <f t="shared" si="0"/>
        <v>2011</v>
      </c>
      <c r="B20" s="350">
        <v>1.667</v>
      </c>
      <c r="C20" s="350">
        <v>1.222</v>
      </c>
      <c r="D20" s="350">
        <v>1.125</v>
      </c>
      <c r="E20" s="350">
        <v>1.069</v>
      </c>
      <c r="F20" s="350">
        <v>1.034</v>
      </c>
      <c r="G20" s="350">
        <v>1.016</v>
      </c>
      <c r="H20" s="350">
        <v>1.01</v>
      </c>
      <c r="I20" s="350">
        <v>1.01</v>
      </c>
      <c r="J20" s="350">
        <v>1.002</v>
      </c>
      <c r="K20" s="350">
        <v>1.004</v>
      </c>
      <c r="L20" s="350">
        <v>1.0029999999999999</v>
      </c>
      <c r="M20" s="350">
        <v>1.0029999999999999</v>
      </c>
      <c r="N20" s="350" t="s">
        <v>31</v>
      </c>
      <c r="O20" s="350" t="s">
        <v>31</v>
      </c>
      <c r="P20" s="350" t="s">
        <v>31</v>
      </c>
      <c r="Q20" s="350" t="s">
        <v>31</v>
      </c>
    </row>
    <row r="21" spans="1:17" ht="13.35" customHeight="1">
      <c r="A21" s="7">
        <f t="shared" si="0"/>
        <v>2012</v>
      </c>
      <c r="B21" s="350">
        <v>1.5920000000000001</v>
      </c>
      <c r="C21" s="350">
        <v>1.1879999999999999</v>
      </c>
      <c r="D21" s="350">
        <v>1.0920000000000001</v>
      </c>
      <c r="E21" s="350">
        <v>1.056</v>
      </c>
      <c r="F21" s="350">
        <v>1.0309999999999999</v>
      </c>
      <c r="G21" s="350">
        <v>1.0149999999999999</v>
      </c>
      <c r="H21" s="350">
        <v>1.0149999999999999</v>
      </c>
      <c r="I21" s="350">
        <v>1.006</v>
      </c>
      <c r="J21" s="350">
        <v>1.0049999999999999</v>
      </c>
      <c r="K21" s="350">
        <v>0.999</v>
      </c>
      <c r="L21" s="350">
        <v>1.0049999999999999</v>
      </c>
      <c r="M21" s="350" t="s">
        <v>31</v>
      </c>
      <c r="N21" s="350" t="s">
        <v>31</v>
      </c>
      <c r="O21" s="350" t="s">
        <v>31</v>
      </c>
      <c r="P21" s="350" t="s">
        <v>31</v>
      </c>
      <c r="Q21" s="350" t="s">
        <v>31</v>
      </c>
    </row>
    <row r="22" spans="1:17" ht="13.35" customHeight="1">
      <c r="A22" s="7">
        <f t="shared" si="0"/>
        <v>2013</v>
      </c>
      <c r="B22" s="350">
        <v>1.5589999999999999</v>
      </c>
      <c r="C22" s="350">
        <v>1.1499999999999999</v>
      </c>
      <c r="D22" s="350">
        <v>1.0860000000000001</v>
      </c>
      <c r="E22" s="350">
        <v>1.0389999999999999</v>
      </c>
      <c r="F22" s="350">
        <v>1.022</v>
      </c>
      <c r="G22" s="350">
        <v>1.014</v>
      </c>
      <c r="H22" s="350">
        <v>1.006</v>
      </c>
      <c r="I22" s="350">
        <v>1.0009999999999999</v>
      </c>
      <c r="J22" s="350">
        <v>1.006</v>
      </c>
      <c r="K22" s="350">
        <v>1.004</v>
      </c>
      <c r="L22" s="350" t="s">
        <v>31</v>
      </c>
      <c r="M22" s="350" t="s">
        <v>31</v>
      </c>
      <c r="N22" s="350" t="s">
        <v>31</v>
      </c>
      <c r="O22" s="350" t="s">
        <v>31</v>
      </c>
      <c r="P22" s="350" t="s">
        <v>31</v>
      </c>
      <c r="Q22" s="350" t="s">
        <v>31</v>
      </c>
    </row>
    <row r="23" spans="1:17" ht="13.35" customHeight="1">
      <c r="A23" s="7">
        <f t="shared" si="0"/>
        <v>2014</v>
      </c>
      <c r="B23" s="350">
        <v>1.5229999999999999</v>
      </c>
      <c r="C23" s="350">
        <v>1.159</v>
      </c>
      <c r="D23" s="350">
        <v>1.079</v>
      </c>
      <c r="E23" s="350">
        <v>1.0349999999999999</v>
      </c>
      <c r="F23" s="350">
        <v>1.0269999999999999</v>
      </c>
      <c r="G23" s="350">
        <v>1.0109999999999999</v>
      </c>
      <c r="H23" s="350">
        <v>1.01</v>
      </c>
      <c r="I23" s="350">
        <v>1.0069999999999999</v>
      </c>
      <c r="J23" s="350">
        <v>1.0049999999999999</v>
      </c>
      <c r="K23" s="350" t="s">
        <v>31</v>
      </c>
      <c r="L23" s="350" t="s">
        <v>31</v>
      </c>
      <c r="M23" s="350" t="s">
        <v>31</v>
      </c>
      <c r="N23" s="350" t="s">
        <v>31</v>
      </c>
      <c r="O23" s="350" t="s">
        <v>31</v>
      </c>
      <c r="P23" s="350" t="s">
        <v>31</v>
      </c>
      <c r="Q23" s="350" t="s">
        <v>31</v>
      </c>
    </row>
    <row r="24" spans="1:17" ht="13.35" customHeight="1">
      <c r="A24" s="7">
        <f t="shared" si="0"/>
        <v>2015</v>
      </c>
      <c r="B24" s="350">
        <v>1.5109999999999999</v>
      </c>
      <c r="C24" s="350">
        <v>1.1459999999999999</v>
      </c>
      <c r="D24" s="350">
        <v>1.0640000000000001</v>
      </c>
      <c r="E24" s="350">
        <v>1.03</v>
      </c>
      <c r="F24" s="350">
        <v>1.018</v>
      </c>
      <c r="G24" s="350">
        <v>1.0069999999999999</v>
      </c>
      <c r="H24" s="350">
        <v>1.0049999999999999</v>
      </c>
      <c r="I24" s="350">
        <v>1.0089999999999999</v>
      </c>
      <c r="J24" s="350" t="s">
        <v>31</v>
      </c>
      <c r="K24" s="350" t="s">
        <v>31</v>
      </c>
      <c r="L24" s="350" t="s">
        <v>31</v>
      </c>
      <c r="M24" s="350" t="s">
        <v>31</v>
      </c>
      <c r="N24" s="350" t="s">
        <v>31</v>
      </c>
      <c r="O24" s="350" t="s">
        <v>31</v>
      </c>
      <c r="P24" s="350" t="s">
        <v>31</v>
      </c>
      <c r="Q24" s="350" t="s">
        <v>31</v>
      </c>
    </row>
    <row r="25" spans="1:17" ht="13.35" customHeight="1">
      <c r="A25" s="7">
        <f t="shared" si="0"/>
        <v>2016</v>
      </c>
      <c r="B25" s="350">
        <v>1.498</v>
      </c>
      <c r="C25" s="350">
        <v>1.1240000000000001</v>
      </c>
      <c r="D25" s="350">
        <v>1.0449999999999999</v>
      </c>
      <c r="E25" s="350">
        <v>1.0309999999999999</v>
      </c>
      <c r="F25" s="350">
        <v>1.0169999999999999</v>
      </c>
      <c r="G25" s="350">
        <v>1.0129999999999999</v>
      </c>
      <c r="H25" s="350">
        <v>1.0049999999999999</v>
      </c>
      <c r="I25" s="350" t="s">
        <v>31</v>
      </c>
      <c r="J25" s="350" t="s">
        <v>31</v>
      </c>
      <c r="K25" s="350" t="s">
        <v>31</v>
      </c>
      <c r="L25" s="350" t="s">
        <v>31</v>
      </c>
      <c r="M25" s="350" t="s">
        <v>31</v>
      </c>
      <c r="N25" s="350" t="s">
        <v>31</v>
      </c>
      <c r="O25" s="350" t="s">
        <v>31</v>
      </c>
      <c r="P25" s="350" t="s">
        <v>31</v>
      </c>
      <c r="Q25" s="350" t="s">
        <v>31</v>
      </c>
    </row>
    <row r="26" spans="1:17" ht="13.35" customHeight="1">
      <c r="A26" s="7">
        <f t="shared" si="0"/>
        <v>2017</v>
      </c>
      <c r="B26" s="350">
        <v>1.44</v>
      </c>
      <c r="C26" s="350">
        <v>1.117</v>
      </c>
      <c r="D26" s="350">
        <v>1.0509999999999999</v>
      </c>
      <c r="E26" s="350">
        <v>1.0269999999999999</v>
      </c>
      <c r="F26" s="350">
        <v>1.024</v>
      </c>
      <c r="G26" s="350">
        <v>1.0089999999999999</v>
      </c>
      <c r="H26" s="350" t="s">
        <v>31</v>
      </c>
      <c r="I26" s="350" t="s">
        <v>31</v>
      </c>
      <c r="J26" s="350" t="s">
        <v>31</v>
      </c>
      <c r="K26" s="350" t="s">
        <v>31</v>
      </c>
      <c r="L26" s="350" t="s">
        <v>31</v>
      </c>
      <c r="M26" s="350" t="s">
        <v>31</v>
      </c>
      <c r="N26" s="350" t="s">
        <v>31</v>
      </c>
      <c r="O26" s="350" t="s">
        <v>31</v>
      </c>
      <c r="P26" s="350" t="s">
        <v>31</v>
      </c>
      <c r="Q26" s="350" t="s">
        <v>31</v>
      </c>
    </row>
    <row r="27" spans="1:17" ht="13.35" customHeight="1">
      <c r="A27" s="7">
        <f t="shared" si="0"/>
        <v>2018</v>
      </c>
      <c r="B27" s="350">
        <v>1.4490000000000001</v>
      </c>
      <c r="C27" s="350">
        <v>1.1100000000000001</v>
      </c>
      <c r="D27" s="350">
        <v>1.054</v>
      </c>
      <c r="E27" s="350">
        <v>1.0309999999999999</v>
      </c>
      <c r="F27" s="350">
        <v>1.0289999999999999</v>
      </c>
      <c r="G27" s="350" t="s">
        <v>31</v>
      </c>
      <c r="H27" s="350" t="s">
        <v>31</v>
      </c>
      <c r="I27" s="350" t="s">
        <v>31</v>
      </c>
      <c r="J27" s="350" t="s">
        <v>31</v>
      </c>
      <c r="K27" s="350" t="s">
        <v>31</v>
      </c>
      <c r="L27" s="350" t="s">
        <v>31</v>
      </c>
      <c r="M27" s="350" t="s">
        <v>31</v>
      </c>
      <c r="N27" s="350" t="s">
        <v>31</v>
      </c>
      <c r="O27" s="350" t="s">
        <v>31</v>
      </c>
      <c r="P27" s="350" t="s">
        <v>31</v>
      </c>
      <c r="Q27" s="350" t="s">
        <v>31</v>
      </c>
    </row>
    <row r="28" spans="1:17" ht="13.35" customHeight="1">
      <c r="A28" s="7">
        <f t="shared" si="0"/>
        <v>2019</v>
      </c>
      <c r="B28" s="350">
        <v>1.452</v>
      </c>
      <c r="C28" s="350">
        <v>1.1240000000000001</v>
      </c>
      <c r="D28" s="350">
        <v>1.0640000000000001</v>
      </c>
      <c r="E28" s="350">
        <v>1.0429999999999999</v>
      </c>
      <c r="F28" s="350" t="s">
        <v>31</v>
      </c>
      <c r="G28" s="350" t="s">
        <v>31</v>
      </c>
      <c r="H28" s="350" t="s">
        <v>31</v>
      </c>
      <c r="I28" s="350" t="s">
        <v>31</v>
      </c>
      <c r="J28" s="350" t="s">
        <v>31</v>
      </c>
      <c r="K28" s="350" t="s">
        <v>31</v>
      </c>
      <c r="L28" s="350" t="s">
        <v>31</v>
      </c>
      <c r="M28" s="350" t="s">
        <v>31</v>
      </c>
      <c r="N28" s="350" t="s">
        <v>31</v>
      </c>
      <c r="O28" s="350" t="s">
        <v>31</v>
      </c>
      <c r="P28" s="350" t="s">
        <v>31</v>
      </c>
      <c r="Q28" s="350" t="s">
        <v>31</v>
      </c>
    </row>
    <row r="29" spans="1:17" s="141" customFormat="1" ht="13.35" customHeight="1">
      <c r="A29" s="7">
        <f t="shared" si="0"/>
        <v>2020</v>
      </c>
      <c r="B29" s="350">
        <v>1.4450000000000001</v>
      </c>
      <c r="C29" s="350">
        <v>1.1519999999999999</v>
      </c>
      <c r="D29" s="350">
        <v>1.0840000000000001</v>
      </c>
      <c r="E29" s="350" t="s">
        <v>31</v>
      </c>
      <c r="F29" s="350" t="s">
        <v>31</v>
      </c>
      <c r="G29" s="350" t="s">
        <v>31</v>
      </c>
      <c r="H29" s="350" t="s">
        <v>31</v>
      </c>
      <c r="I29" s="350" t="s">
        <v>31</v>
      </c>
      <c r="J29" s="350" t="s">
        <v>31</v>
      </c>
      <c r="K29" s="350" t="s">
        <v>31</v>
      </c>
      <c r="L29" s="350" t="s">
        <v>31</v>
      </c>
      <c r="M29" s="350" t="s">
        <v>31</v>
      </c>
      <c r="N29" s="350" t="s">
        <v>31</v>
      </c>
      <c r="O29" s="350" t="s">
        <v>31</v>
      </c>
      <c r="P29" s="350" t="s">
        <v>31</v>
      </c>
      <c r="Q29" s="350" t="s">
        <v>31</v>
      </c>
    </row>
    <row r="30" spans="1:17" s="141" customFormat="1" ht="13.35" customHeight="1">
      <c r="A30" s="7">
        <f t="shared" si="0"/>
        <v>2021</v>
      </c>
      <c r="B30" s="350">
        <v>1.46</v>
      </c>
      <c r="C30" s="350">
        <v>1.169</v>
      </c>
      <c r="D30" s="350" t="s">
        <v>31</v>
      </c>
      <c r="E30" s="350" t="s">
        <v>31</v>
      </c>
      <c r="F30" s="350" t="s">
        <v>31</v>
      </c>
      <c r="G30" s="350" t="s">
        <v>31</v>
      </c>
      <c r="H30" s="350" t="s">
        <v>31</v>
      </c>
      <c r="I30" s="350" t="s">
        <v>31</v>
      </c>
      <c r="J30" s="350" t="s">
        <v>31</v>
      </c>
      <c r="K30" s="350" t="s">
        <v>31</v>
      </c>
      <c r="L30" s="350" t="s">
        <v>31</v>
      </c>
      <c r="M30" s="350" t="s">
        <v>31</v>
      </c>
      <c r="N30" s="350" t="s">
        <v>31</v>
      </c>
      <c r="O30" s="350" t="s">
        <v>31</v>
      </c>
      <c r="P30" s="350" t="s">
        <v>31</v>
      </c>
      <c r="Q30" s="350" t="s">
        <v>31</v>
      </c>
    </row>
    <row r="31" spans="1:17" ht="13.35" customHeight="1">
      <c r="A31" s="7">
        <f>'Exhibit 2.1.1'!A31</f>
        <v>2022</v>
      </c>
      <c r="B31" s="350">
        <v>1.5109999999999999</v>
      </c>
      <c r="C31" s="350" t="s">
        <v>31</v>
      </c>
      <c r="D31" s="350" t="s">
        <v>31</v>
      </c>
      <c r="E31" s="350" t="s">
        <v>31</v>
      </c>
      <c r="F31" s="350" t="s">
        <v>31</v>
      </c>
      <c r="G31" s="350" t="s">
        <v>31</v>
      </c>
      <c r="H31" s="350" t="s">
        <v>31</v>
      </c>
      <c r="I31" s="350" t="s">
        <v>31</v>
      </c>
      <c r="J31" s="350" t="s">
        <v>31</v>
      </c>
      <c r="K31" s="350" t="s">
        <v>31</v>
      </c>
      <c r="L31" s="350" t="s">
        <v>31</v>
      </c>
      <c r="M31" s="350" t="s">
        <v>31</v>
      </c>
      <c r="N31" s="350" t="s">
        <v>31</v>
      </c>
      <c r="O31" s="350" t="s">
        <v>31</v>
      </c>
      <c r="P31" s="350" t="s">
        <v>31</v>
      </c>
      <c r="Q31" s="350" t="s">
        <v>31</v>
      </c>
    </row>
    <row r="32" spans="1:17" ht="13.35" customHeight="1">
      <c r="A32" s="7"/>
      <c r="B32" s="8"/>
      <c r="C32" s="8"/>
      <c r="D32" s="8"/>
      <c r="E32" s="8"/>
      <c r="F32" s="8"/>
      <c r="G32" s="8"/>
      <c r="H32" s="8"/>
      <c r="I32" s="8"/>
      <c r="J32" s="8"/>
      <c r="K32" s="8"/>
      <c r="L32" s="8"/>
      <c r="M32" s="8"/>
      <c r="N32" s="8"/>
      <c r="O32" s="8"/>
      <c r="P32" s="8"/>
      <c r="Q32" s="8"/>
    </row>
    <row r="33" spans="1:17" ht="13.35" customHeight="1">
      <c r="A33" s="7" t="s">
        <v>20</v>
      </c>
      <c r="B33" s="351">
        <f>ROUND(B31,3)</f>
        <v>1.5109999999999999</v>
      </c>
      <c r="C33" s="351">
        <f>ROUND(C30,3)</f>
        <v>1.169</v>
      </c>
      <c r="D33" s="351">
        <f>ROUND(D29,3)</f>
        <v>1.0840000000000001</v>
      </c>
      <c r="E33" s="351">
        <f>ROUND(E28,3)</f>
        <v>1.0429999999999999</v>
      </c>
      <c r="F33" s="351">
        <f>ROUND(F27,3)</f>
        <v>1.0289999999999999</v>
      </c>
      <c r="G33" s="351">
        <f>ROUND(G26,3)</f>
        <v>1.0089999999999999</v>
      </c>
      <c r="H33" s="351">
        <f>ROUND(H25,3)</f>
        <v>1.0049999999999999</v>
      </c>
      <c r="I33" s="351">
        <f>ROUND(I24,3)</f>
        <v>1.0089999999999999</v>
      </c>
      <c r="J33" s="351">
        <f>AVERAGE(J18:J23)</f>
        <v>1.0056666666666667</v>
      </c>
      <c r="K33" s="351">
        <f>AVERAGE(K17:K22)</f>
        <v>1.0036666666666667</v>
      </c>
      <c r="L33" s="351">
        <f>AVERAGE(L16:L21)</f>
        <v>1.0023333333333333</v>
      </c>
      <c r="M33" s="351">
        <f>AVERAGE(M15:M20)</f>
        <v>1.0028333333333332</v>
      </c>
      <c r="N33" s="351">
        <f>AVERAGE(N14:N19)</f>
        <v>0.9993333333333333</v>
      </c>
      <c r="O33" s="351">
        <f>AVERAGE(O13:O18)</f>
        <v>1.0008333333333332</v>
      </c>
      <c r="P33" s="351">
        <f>AVERAGE(P12:P17)</f>
        <v>1.0006666666666666</v>
      </c>
      <c r="Q33" s="351">
        <f>AVERAGE(Q11:Q16)</f>
        <v>1.0008333333333332</v>
      </c>
    </row>
    <row r="34" spans="1:17" ht="13.35" customHeight="1">
      <c r="A34" s="7" t="s">
        <v>21</v>
      </c>
      <c r="B34" s="351">
        <f t="shared" ref="B34:O34" si="1">C34*B33</f>
        <v>2.1259893304722852</v>
      </c>
      <c r="C34" s="351">
        <f t="shared" si="1"/>
        <v>1.4070081604714</v>
      </c>
      <c r="D34" s="351">
        <f t="shared" si="1"/>
        <v>1.2035997950995723</v>
      </c>
      <c r="E34" s="351">
        <f t="shared" si="1"/>
        <v>1.1103319142984984</v>
      </c>
      <c r="F34" s="351">
        <f t="shared" si="1"/>
        <v>1.0645560060388288</v>
      </c>
      <c r="G34" s="351">
        <f t="shared" si="1"/>
        <v>1.0345539417286966</v>
      </c>
      <c r="H34" s="351">
        <f t="shared" si="1"/>
        <v>1.025326007659759</v>
      </c>
      <c r="I34" s="351">
        <f t="shared" si="1"/>
        <v>1.0202248832435414</v>
      </c>
      <c r="J34" s="351">
        <f t="shared" si="1"/>
        <v>1.011124760399942</v>
      </c>
      <c r="K34" s="351">
        <f t="shared" si="1"/>
        <v>1.005427338813333</v>
      </c>
      <c r="L34" s="351">
        <f t="shared" si="1"/>
        <v>1.0017542399335766</v>
      </c>
      <c r="M34" s="351">
        <f t="shared" si="1"/>
        <v>0.99942225467267365</v>
      </c>
      <c r="N34" s="351">
        <f t="shared" si="1"/>
        <v>0.99659855875619785</v>
      </c>
      <c r="O34" s="351">
        <f t="shared" si="1"/>
        <v>0.99726340102354694</v>
      </c>
      <c r="P34" s="351">
        <f>Q34*P33</f>
        <v>0.99643304015674972</v>
      </c>
      <c r="Q34" s="351">
        <f>'Exhibit 2.2.2'!B32*Q33</f>
        <v>0.99576919402739816</v>
      </c>
    </row>
    <row r="35" spans="1:17" ht="13.35" customHeight="1">
      <c r="A35" s="59"/>
      <c r="B35" s="59"/>
      <c r="C35" s="59"/>
      <c r="D35" s="59"/>
      <c r="E35" s="59"/>
      <c r="F35" s="59"/>
      <c r="G35" s="59"/>
      <c r="H35" s="59"/>
      <c r="I35" s="59"/>
      <c r="J35" s="59"/>
      <c r="K35" s="59"/>
      <c r="L35" s="59"/>
      <c r="M35" s="59"/>
      <c r="N35" s="59"/>
      <c r="O35" s="59"/>
      <c r="P35" s="59"/>
    </row>
    <row r="36" spans="1:17" ht="13.35" customHeight="1">
      <c r="A36" s="5" t="s">
        <v>356</v>
      </c>
      <c r="B36" s="70" t="s">
        <v>411</v>
      </c>
      <c r="C36" s="68"/>
      <c r="D36" s="68"/>
      <c r="E36" s="68"/>
      <c r="F36" s="68"/>
      <c r="G36" s="68"/>
      <c r="H36" s="68"/>
      <c r="I36" s="68"/>
      <c r="J36" s="68"/>
      <c r="K36" s="68"/>
      <c r="L36" s="68"/>
      <c r="M36" s="68"/>
      <c r="N36" s="68"/>
      <c r="O36" s="68"/>
      <c r="P36" s="68"/>
    </row>
    <row r="37" spans="1:17">
      <c r="A37" s="5" t="s">
        <v>357</v>
      </c>
      <c r="B37" s="74" t="s">
        <v>228</v>
      </c>
      <c r="C37" s="69"/>
      <c r="D37" s="69"/>
      <c r="E37" s="69"/>
      <c r="F37" s="69"/>
      <c r="G37" s="69"/>
      <c r="H37" s="69"/>
      <c r="I37" s="69"/>
      <c r="J37" s="69"/>
      <c r="K37" s="69"/>
      <c r="L37" s="69"/>
      <c r="M37" s="69"/>
      <c r="N37" s="69"/>
      <c r="O37" s="69"/>
      <c r="P37" s="69"/>
    </row>
  </sheetData>
  <pageMargins left="0.7" right="0.7" top="0.75" bottom="0.75" header="0.3" footer="0.3"/>
  <pageSetup scale="88" orientation="landscape" blackAndWhite="1" horizontalDpi="1200" verticalDpi="1200" r:id="rId1"/>
  <headerFooter scaleWithDoc="0"/>
  <ignoredErrors>
    <ignoredError sqref="J33:Q3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X35"/>
  <sheetViews>
    <sheetView zoomScaleNormal="100" zoomScaleSheetLayoutView="100" workbookViewId="0"/>
  </sheetViews>
  <sheetFormatPr defaultColWidth="9.140625" defaultRowHeight="12.75"/>
  <cols>
    <col min="1" max="1" width="13.140625" style="53" customWidth="1"/>
    <col min="2" max="23" width="7.85546875" style="53" customWidth="1"/>
    <col min="24" max="24" width="13.140625" style="54" bestFit="1" customWidth="1"/>
    <col min="25" max="16384" width="9.140625" style="53"/>
  </cols>
  <sheetData>
    <row r="1" spans="1:24" ht="15" customHeight="1">
      <c r="A1" s="189" t="s">
        <v>27</v>
      </c>
      <c r="B1" s="189"/>
      <c r="C1" s="189"/>
      <c r="D1" s="189"/>
      <c r="E1" s="189"/>
      <c r="F1" s="189"/>
      <c r="G1" s="189"/>
      <c r="H1" s="189"/>
      <c r="I1" s="189"/>
      <c r="J1" s="189"/>
      <c r="K1" s="189"/>
      <c r="L1" s="189"/>
      <c r="M1" s="189"/>
      <c r="N1" s="189"/>
      <c r="O1" s="189"/>
      <c r="P1" s="189"/>
      <c r="Q1" s="189"/>
      <c r="R1" s="189"/>
      <c r="S1" s="189"/>
      <c r="T1" s="189"/>
      <c r="U1" s="189"/>
      <c r="V1" s="189"/>
      <c r="W1" s="189"/>
      <c r="X1" s="296"/>
    </row>
    <row r="2" spans="1:24">
      <c r="A2" s="105"/>
      <c r="B2" s="105"/>
      <c r="C2" s="105"/>
      <c r="D2" s="105"/>
      <c r="E2" s="105"/>
      <c r="F2" s="105"/>
      <c r="G2" s="105"/>
      <c r="H2" s="105"/>
      <c r="I2" s="105"/>
      <c r="J2" s="105"/>
      <c r="K2" s="105"/>
      <c r="L2" s="105"/>
      <c r="M2" s="105"/>
      <c r="N2" s="105"/>
      <c r="O2" s="105"/>
      <c r="P2" s="105"/>
      <c r="Q2" s="105"/>
      <c r="R2" s="105"/>
      <c r="S2" s="105"/>
      <c r="T2" s="105"/>
      <c r="U2" s="105"/>
      <c r="V2" s="105"/>
      <c r="W2" s="105"/>
    </row>
    <row r="3" spans="1:24">
      <c r="A3" s="283"/>
      <c r="B3" s="180" t="s">
        <v>18</v>
      </c>
      <c r="C3" s="180"/>
      <c r="D3" s="180"/>
      <c r="E3" s="180"/>
      <c r="F3" s="180"/>
      <c r="G3" s="180"/>
      <c r="H3" s="180"/>
      <c r="I3" s="180"/>
      <c r="J3" s="180"/>
      <c r="K3" s="180"/>
      <c r="L3" s="180"/>
      <c r="M3" s="180"/>
      <c r="N3" s="180"/>
      <c r="O3" s="180"/>
      <c r="P3" s="180"/>
      <c r="Q3" s="180"/>
      <c r="R3" s="180"/>
      <c r="S3" s="180"/>
      <c r="T3" s="180"/>
      <c r="U3" s="180"/>
      <c r="V3" s="180"/>
      <c r="W3" s="180"/>
      <c r="X3" s="297"/>
    </row>
    <row r="4" spans="1:24">
      <c r="A4" s="184" t="s">
        <v>19</v>
      </c>
      <c r="B4" s="184" t="str">
        <f>LEFT('Exhibit 2.2.1'!Q4,3)+12&amp;"/"&amp;RIGHT('Exhibit 2.2.1'!Q4,3)+12</f>
        <v>216/204</v>
      </c>
      <c r="C4" s="184" t="str">
        <f>LEFT(B4,3)+12&amp;"/"&amp;RIGHT(B4,3)+12</f>
        <v>228/216</v>
      </c>
      <c r="D4" s="184" t="str">
        <f t="shared" ref="D4:R4" si="0">LEFT(C4,3)+12&amp;"/"&amp;RIGHT(C4,3)+12</f>
        <v>240/228</v>
      </c>
      <c r="E4" s="184" t="str">
        <f t="shared" si="0"/>
        <v>252/240</v>
      </c>
      <c r="F4" s="184" t="str">
        <f t="shared" si="0"/>
        <v>264/252</v>
      </c>
      <c r="G4" s="184" t="str">
        <f t="shared" si="0"/>
        <v>276/264</v>
      </c>
      <c r="H4" s="184" t="str">
        <f t="shared" si="0"/>
        <v>288/276</v>
      </c>
      <c r="I4" s="184" t="str">
        <f t="shared" si="0"/>
        <v>300/288</v>
      </c>
      <c r="J4" s="184" t="str">
        <f t="shared" si="0"/>
        <v>312/300</v>
      </c>
      <c r="K4" s="184" t="str">
        <f t="shared" si="0"/>
        <v>324/312</v>
      </c>
      <c r="L4" s="184" t="str">
        <f t="shared" si="0"/>
        <v>336/324</v>
      </c>
      <c r="M4" s="184" t="str">
        <f t="shared" si="0"/>
        <v>348/336</v>
      </c>
      <c r="N4" s="184" t="str">
        <f t="shared" si="0"/>
        <v>360/348</v>
      </c>
      <c r="O4" s="184" t="str">
        <f t="shared" si="0"/>
        <v>372/360</v>
      </c>
      <c r="P4" s="184" t="str">
        <f t="shared" si="0"/>
        <v>384/372</v>
      </c>
      <c r="Q4" s="184" t="str">
        <f t="shared" si="0"/>
        <v>396/384</v>
      </c>
      <c r="R4" s="184" t="str">
        <f t="shared" si="0"/>
        <v>408/396</v>
      </c>
      <c r="S4" s="184" t="str">
        <f t="shared" ref="S4" si="1">LEFT(R4,3)+12&amp;"/"&amp;RIGHT(R4,3)+12</f>
        <v>420/408</v>
      </c>
      <c r="T4" s="184" t="str">
        <f t="shared" ref="T4" si="2">LEFT(S4,3)+12&amp;"/"&amp;RIGHT(S4,3)+12</f>
        <v>432/420</v>
      </c>
      <c r="U4" s="184" t="str">
        <f t="shared" ref="U4" si="3">LEFT(T4,3)+12&amp;"/"&amp;RIGHT(T4,3)+12</f>
        <v>444/432</v>
      </c>
      <c r="V4" s="184" t="str">
        <f t="shared" ref="V4" si="4">LEFT(U4,3)+12&amp;"/"&amp;RIGHT(U4,3)+12</f>
        <v>456/444</v>
      </c>
      <c r="W4" s="184" t="str">
        <f t="shared" ref="W4" si="5">LEFT(V4,3)+12&amp;"/"&amp;RIGHT(V4,3)+12</f>
        <v>468/456</v>
      </c>
      <c r="X4" s="184" t="str">
        <f>"ULT/"&amp;LEFT(W4,3)&amp;"Inc (c)"</f>
        <v>ULT/468Inc (c)</v>
      </c>
    </row>
    <row r="5" spans="1:24">
      <c r="A5" s="181">
        <f t="shared" ref="A5:A27" si="6">+A6-1</f>
        <v>1983</v>
      </c>
      <c r="B5" s="350" t="s">
        <v>31</v>
      </c>
      <c r="C5" s="350" t="s">
        <v>31</v>
      </c>
      <c r="D5" s="350" t="s">
        <v>31</v>
      </c>
      <c r="E5" s="350" t="s">
        <v>31</v>
      </c>
      <c r="F5" s="350" t="s">
        <v>31</v>
      </c>
      <c r="G5" s="350" t="s">
        <v>31</v>
      </c>
      <c r="H5" s="350" t="s">
        <v>31</v>
      </c>
      <c r="I5" s="350" t="s">
        <v>31</v>
      </c>
      <c r="J5" s="350" t="s">
        <v>31</v>
      </c>
      <c r="K5" s="350" t="s">
        <v>31</v>
      </c>
      <c r="L5" s="350">
        <v>1.002</v>
      </c>
      <c r="M5" s="350">
        <v>1.006</v>
      </c>
      <c r="N5" s="350">
        <v>1.0029999999999999</v>
      </c>
      <c r="O5" s="350">
        <v>1.004</v>
      </c>
      <c r="P5" s="350">
        <v>1.0029999999999999</v>
      </c>
      <c r="Q5" s="350">
        <v>0.997</v>
      </c>
      <c r="R5" s="350">
        <v>0.999</v>
      </c>
      <c r="S5" s="350">
        <v>0.998</v>
      </c>
      <c r="T5" s="350">
        <v>1.0009999999999999</v>
      </c>
      <c r="U5" s="350">
        <v>1.0009999999999999</v>
      </c>
      <c r="V5" s="350">
        <v>1.0009999999999999</v>
      </c>
      <c r="W5" s="350">
        <v>0.998</v>
      </c>
      <c r="X5" s="185"/>
    </row>
    <row r="6" spans="1:24">
      <c r="A6" s="181">
        <f t="shared" si="6"/>
        <v>1984</v>
      </c>
      <c r="B6" s="350" t="s">
        <v>31</v>
      </c>
      <c r="C6" s="350" t="s">
        <v>31</v>
      </c>
      <c r="D6" s="350" t="s">
        <v>31</v>
      </c>
      <c r="E6" s="350" t="s">
        <v>31</v>
      </c>
      <c r="F6" s="350" t="s">
        <v>31</v>
      </c>
      <c r="G6" s="350" t="s">
        <v>31</v>
      </c>
      <c r="H6" s="350" t="s">
        <v>31</v>
      </c>
      <c r="I6" s="350" t="s">
        <v>31</v>
      </c>
      <c r="J6" s="350" t="s">
        <v>31</v>
      </c>
      <c r="K6" s="350">
        <v>1.002</v>
      </c>
      <c r="L6" s="350">
        <v>1.0029999999999999</v>
      </c>
      <c r="M6" s="350">
        <v>1.0009999999999999</v>
      </c>
      <c r="N6" s="350">
        <v>1.0029999999999999</v>
      </c>
      <c r="O6" s="350">
        <v>1.0009999999999999</v>
      </c>
      <c r="P6" s="350">
        <v>0.997</v>
      </c>
      <c r="Q6" s="350">
        <v>1</v>
      </c>
      <c r="R6" s="350">
        <v>1.0009999999999999</v>
      </c>
      <c r="S6" s="350">
        <v>1</v>
      </c>
      <c r="T6" s="350">
        <v>1</v>
      </c>
      <c r="U6" s="350">
        <v>0.998</v>
      </c>
      <c r="V6" s="350">
        <v>1</v>
      </c>
      <c r="W6" s="350">
        <v>0.999</v>
      </c>
      <c r="X6" s="185"/>
    </row>
    <row r="7" spans="1:24">
      <c r="A7" s="181">
        <f t="shared" si="6"/>
        <v>1985</v>
      </c>
      <c r="B7" s="350" t="s">
        <v>31</v>
      </c>
      <c r="C7" s="350" t="s">
        <v>31</v>
      </c>
      <c r="D7" s="350" t="s">
        <v>31</v>
      </c>
      <c r="E7" s="350" t="s">
        <v>31</v>
      </c>
      <c r="F7" s="350" t="s">
        <v>31</v>
      </c>
      <c r="G7" s="350" t="s">
        <v>31</v>
      </c>
      <c r="H7" s="350" t="s">
        <v>31</v>
      </c>
      <c r="I7" s="350" t="s">
        <v>31</v>
      </c>
      <c r="J7" s="350">
        <v>1.0029999999999999</v>
      </c>
      <c r="K7" s="350">
        <v>1.0029999999999999</v>
      </c>
      <c r="L7" s="350">
        <v>1.0049999999999999</v>
      </c>
      <c r="M7" s="350">
        <v>1.002</v>
      </c>
      <c r="N7" s="350">
        <v>1.0029999999999999</v>
      </c>
      <c r="O7" s="350">
        <v>0.998</v>
      </c>
      <c r="P7" s="350">
        <v>0.999</v>
      </c>
      <c r="Q7" s="350">
        <v>0.999</v>
      </c>
      <c r="R7" s="350">
        <v>1</v>
      </c>
      <c r="S7" s="350">
        <v>1.0009999999999999</v>
      </c>
      <c r="T7" s="350">
        <v>1</v>
      </c>
      <c r="U7" s="350">
        <v>1</v>
      </c>
      <c r="V7" s="350">
        <v>1.0009999999999999</v>
      </c>
      <c r="W7" s="350">
        <v>0.998</v>
      </c>
      <c r="X7" s="185"/>
    </row>
    <row r="8" spans="1:24">
      <c r="A8" s="181">
        <f t="shared" si="6"/>
        <v>1986</v>
      </c>
      <c r="B8" s="350" t="s">
        <v>31</v>
      </c>
      <c r="C8" s="350" t="s">
        <v>31</v>
      </c>
      <c r="D8" s="350" t="s">
        <v>31</v>
      </c>
      <c r="E8" s="350" t="s">
        <v>31</v>
      </c>
      <c r="F8" s="350" t="s">
        <v>31</v>
      </c>
      <c r="G8" s="350" t="s">
        <v>31</v>
      </c>
      <c r="H8" s="350" t="s">
        <v>31</v>
      </c>
      <c r="I8" s="350">
        <v>1.0049999999999999</v>
      </c>
      <c r="J8" s="350">
        <v>1.006</v>
      </c>
      <c r="K8" s="350">
        <v>1.004</v>
      </c>
      <c r="L8" s="350">
        <v>1.0049999999999999</v>
      </c>
      <c r="M8" s="350">
        <v>1</v>
      </c>
      <c r="N8" s="350">
        <v>1.002</v>
      </c>
      <c r="O8" s="350">
        <v>0.998</v>
      </c>
      <c r="P8" s="350">
        <v>1.0009999999999999</v>
      </c>
      <c r="Q8" s="350">
        <v>1.006</v>
      </c>
      <c r="R8" s="350">
        <v>0.99399999999999999</v>
      </c>
      <c r="S8" s="350">
        <v>1.002</v>
      </c>
      <c r="T8" s="350">
        <v>1.0009999999999999</v>
      </c>
      <c r="U8" s="350">
        <v>1.0009999999999999</v>
      </c>
      <c r="V8" s="350">
        <v>1.0009999999999999</v>
      </c>
      <c r="W8" s="350" t="s">
        <v>31</v>
      </c>
      <c r="X8" s="185"/>
    </row>
    <row r="9" spans="1:24">
      <c r="A9" s="181">
        <f t="shared" si="6"/>
        <v>1987</v>
      </c>
      <c r="B9" s="350" t="s">
        <v>31</v>
      </c>
      <c r="C9" s="350" t="s">
        <v>31</v>
      </c>
      <c r="D9" s="350" t="s">
        <v>31</v>
      </c>
      <c r="E9" s="350" t="s">
        <v>31</v>
      </c>
      <c r="F9" s="350" t="s">
        <v>31</v>
      </c>
      <c r="G9" s="350" t="s">
        <v>31</v>
      </c>
      <c r="H9" s="350">
        <v>0.999</v>
      </c>
      <c r="I9" s="350">
        <v>1.0069999999999999</v>
      </c>
      <c r="J9" s="350">
        <v>1.0029999999999999</v>
      </c>
      <c r="K9" s="350">
        <v>1.004</v>
      </c>
      <c r="L9" s="350">
        <v>1.0049999999999999</v>
      </c>
      <c r="M9" s="350">
        <v>1.0009999999999999</v>
      </c>
      <c r="N9" s="350">
        <v>0.997</v>
      </c>
      <c r="O9" s="350">
        <v>1.0009999999999999</v>
      </c>
      <c r="P9" s="350">
        <v>1</v>
      </c>
      <c r="Q9" s="350">
        <v>1.0049999999999999</v>
      </c>
      <c r="R9" s="350">
        <v>1.002</v>
      </c>
      <c r="S9" s="350">
        <v>0.999</v>
      </c>
      <c r="T9" s="350">
        <v>1</v>
      </c>
      <c r="U9" s="350">
        <v>1.002</v>
      </c>
      <c r="V9" s="350" t="s">
        <v>31</v>
      </c>
      <c r="W9" s="350" t="s">
        <v>31</v>
      </c>
      <c r="X9" s="185"/>
    </row>
    <row r="10" spans="1:24">
      <c r="A10" s="181">
        <f t="shared" si="6"/>
        <v>1988</v>
      </c>
      <c r="B10" s="350" t="s">
        <v>31</v>
      </c>
      <c r="C10" s="350" t="s">
        <v>31</v>
      </c>
      <c r="D10" s="350" t="s">
        <v>31</v>
      </c>
      <c r="E10" s="350" t="s">
        <v>31</v>
      </c>
      <c r="F10" s="350" t="s">
        <v>31</v>
      </c>
      <c r="G10" s="350">
        <v>1.0049999999999999</v>
      </c>
      <c r="H10" s="350">
        <v>1.002</v>
      </c>
      <c r="I10" s="350">
        <v>1.0049999999999999</v>
      </c>
      <c r="J10" s="350">
        <v>1.0029999999999999</v>
      </c>
      <c r="K10" s="350">
        <v>1.0029999999999999</v>
      </c>
      <c r="L10" s="350">
        <v>1.002</v>
      </c>
      <c r="M10" s="350">
        <v>0.998</v>
      </c>
      <c r="N10" s="350">
        <v>0.999</v>
      </c>
      <c r="O10" s="350">
        <v>1</v>
      </c>
      <c r="P10" s="350">
        <v>1.0009999999999999</v>
      </c>
      <c r="Q10" s="350">
        <v>1.0009999999999999</v>
      </c>
      <c r="R10" s="350">
        <v>1</v>
      </c>
      <c r="S10" s="350">
        <v>1</v>
      </c>
      <c r="T10" s="350">
        <v>0.999</v>
      </c>
      <c r="U10" s="350" t="s">
        <v>31</v>
      </c>
      <c r="V10" s="350" t="s">
        <v>31</v>
      </c>
      <c r="W10" s="350" t="s">
        <v>31</v>
      </c>
      <c r="X10" s="185"/>
    </row>
    <row r="11" spans="1:24">
      <c r="A11" s="181">
        <f t="shared" si="6"/>
        <v>1989</v>
      </c>
      <c r="B11" s="350" t="s">
        <v>31</v>
      </c>
      <c r="C11" s="350" t="s">
        <v>31</v>
      </c>
      <c r="D11" s="350" t="s">
        <v>31</v>
      </c>
      <c r="E11" s="350" t="s">
        <v>31</v>
      </c>
      <c r="F11" s="350">
        <v>1.0049999999999999</v>
      </c>
      <c r="G11" s="350">
        <v>1.008</v>
      </c>
      <c r="H11" s="350">
        <v>1.006</v>
      </c>
      <c r="I11" s="350">
        <v>1</v>
      </c>
      <c r="J11" s="350">
        <v>1.0029999999999999</v>
      </c>
      <c r="K11" s="350">
        <v>0.999</v>
      </c>
      <c r="L11" s="350">
        <v>0.999</v>
      </c>
      <c r="M11" s="350">
        <v>0.999</v>
      </c>
      <c r="N11" s="350">
        <v>0.999</v>
      </c>
      <c r="O11" s="350">
        <v>1.002</v>
      </c>
      <c r="P11" s="350">
        <v>0.999</v>
      </c>
      <c r="Q11" s="350">
        <v>1</v>
      </c>
      <c r="R11" s="350">
        <v>0.999</v>
      </c>
      <c r="S11" s="350">
        <v>1.0009999999999999</v>
      </c>
      <c r="T11" s="350" t="s">
        <v>31</v>
      </c>
      <c r="U11" s="350" t="s">
        <v>31</v>
      </c>
      <c r="V11" s="350" t="s">
        <v>31</v>
      </c>
      <c r="W11" s="350" t="s">
        <v>31</v>
      </c>
      <c r="X11" s="185"/>
    </row>
    <row r="12" spans="1:24">
      <c r="A12" s="181">
        <f t="shared" si="6"/>
        <v>1990</v>
      </c>
      <c r="B12" s="350" t="s">
        <v>31</v>
      </c>
      <c r="C12" s="350" t="s">
        <v>31</v>
      </c>
      <c r="D12" s="350" t="s">
        <v>31</v>
      </c>
      <c r="E12" s="350">
        <v>1.0049999999999999</v>
      </c>
      <c r="F12" s="350">
        <v>1.0029999999999999</v>
      </c>
      <c r="G12" s="350">
        <v>1.0029999999999999</v>
      </c>
      <c r="H12" s="350">
        <v>1.0029999999999999</v>
      </c>
      <c r="I12" s="350">
        <v>0.997</v>
      </c>
      <c r="J12" s="350">
        <v>1.002</v>
      </c>
      <c r="K12" s="350">
        <v>1</v>
      </c>
      <c r="L12" s="350">
        <v>1</v>
      </c>
      <c r="M12" s="350">
        <v>0.998</v>
      </c>
      <c r="N12" s="350">
        <v>0.999</v>
      </c>
      <c r="O12" s="350">
        <v>1</v>
      </c>
      <c r="P12" s="350">
        <v>1</v>
      </c>
      <c r="Q12" s="350">
        <v>0.999</v>
      </c>
      <c r="R12" s="350">
        <v>1.002</v>
      </c>
      <c r="S12" s="350" t="s">
        <v>31</v>
      </c>
      <c r="T12" s="350" t="s">
        <v>31</v>
      </c>
      <c r="U12" s="350" t="s">
        <v>31</v>
      </c>
      <c r="V12" s="350" t="s">
        <v>31</v>
      </c>
      <c r="W12" s="350" t="s">
        <v>31</v>
      </c>
      <c r="X12" s="185"/>
    </row>
    <row r="13" spans="1:24">
      <c r="A13" s="181">
        <f t="shared" si="6"/>
        <v>1991</v>
      </c>
      <c r="B13" s="350" t="s">
        <v>31</v>
      </c>
      <c r="C13" s="350" t="s">
        <v>31</v>
      </c>
      <c r="D13" s="350">
        <v>1.006</v>
      </c>
      <c r="E13" s="350">
        <v>1.002</v>
      </c>
      <c r="F13" s="350">
        <v>1.0029999999999999</v>
      </c>
      <c r="G13" s="350">
        <v>1.002</v>
      </c>
      <c r="H13" s="350">
        <v>1.0029999999999999</v>
      </c>
      <c r="I13" s="350">
        <v>1.0009999999999999</v>
      </c>
      <c r="J13" s="350">
        <v>1</v>
      </c>
      <c r="K13" s="350">
        <v>0.999</v>
      </c>
      <c r="L13" s="350">
        <v>0.998</v>
      </c>
      <c r="M13" s="350">
        <v>1</v>
      </c>
      <c r="N13" s="350">
        <v>1.0009999999999999</v>
      </c>
      <c r="O13" s="350">
        <v>1.0009999999999999</v>
      </c>
      <c r="P13" s="350">
        <v>1</v>
      </c>
      <c r="Q13" s="350">
        <v>0.998</v>
      </c>
      <c r="R13" s="350" t="s">
        <v>31</v>
      </c>
      <c r="S13" s="350" t="s">
        <v>31</v>
      </c>
      <c r="T13" s="350" t="s">
        <v>31</v>
      </c>
      <c r="U13" s="350" t="s">
        <v>31</v>
      </c>
      <c r="V13" s="350" t="s">
        <v>31</v>
      </c>
      <c r="W13" s="350" t="s">
        <v>31</v>
      </c>
      <c r="X13" s="185"/>
    </row>
    <row r="14" spans="1:24">
      <c r="A14" s="181">
        <f t="shared" si="6"/>
        <v>1992</v>
      </c>
      <c r="B14" s="350" t="s">
        <v>31</v>
      </c>
      <c r="C14" s="350">
        <v>1.004</v>
      </c>
      <c r="D14" s="350">
        <v>1.002</v>
      </c>
      <c r="E14" s="350">
        <v>1.0049999999999999</v>
      </c>
      <c r="F14" s="350">
        <v>1.0029999999999999</v>
      </c>
      <c r="G14" s="350">
        <v>1.0049999999999999</v>
      </c>
      <c r="H14" s="350">
        <v>1</v>
      </c>
      <c r="I14" s="350">
        <v>0.999</v>
      </c>
      <c r="J14" s="350">
        <v>1.0009999999999999</v>
      </c>
      <c r="K14" s="350">
        <v>0.999</v>
      </c>
      <c r="L14" s="350">
        <v>1.002</v>
      </c>
      <c r="M14" s="350">
        <v>0.999</v>
      </c>
      <c r="N14" s="350">
        <v>0.999</v>
      </c>
      <c r="O14" s="350">
        <v>1</v>
      </c>
      <c r="P14" s="350">
        <v>0.999</v>
      </c>
      <c r="Q14" s="350" t="s">
        <v>31</v>
      </c>
      <c r="R14" s="350" t="s">
        <v>31</v>
      </c>
      <c r="S14" s="350" t="s">
        <v>31</v>
      </c>
      <c r="T14" s="350" t="s">
        <v>31</v>
      </c>
      <c r="U14" s="350" t="s">
        <v>31</v>
      </c>
      <c r="V14" s="350" t="s">
        <v>31</v>
      </c>
      <c r="W14" s="350" t="s">
        <v>31</v>
      </c>
      <c r="X14" s="185"/>
    </row>
    <row r="15" spans="1:24">
      <c r="A15" s="181">
        <f t="shared" si="6"/>
        <v>1993</v>
      </c>
      <c r="B15" s="350">
        <v>1.0069999999999999</v>
      </c>
      <c r="C15" s="350">
        <v>1.0109999999999999</v>
      </c>
      <c r="D15" s="350">
        <v>1.014</v>
      </c>
      <c r="E15" s="350">
        <v>1.004</v>
      </c>
      <c r="F15" s="350">
        <v>0.999</v>
      </c>
      <c r="G15" s="350">
        <v>1</v>
      </c>
      <c r="H15" s="350">
        <v>0.996</v>
      </c>
      <c r="I15" s="350">
        <v>0.999</v>
      </c>
      <c r="J15" s="350">
        <v>0.998</v>
      </c>
      <c r="K15" s="350">
        <v>0.998</v>
      </c>
      <c r="L15" s="350">
        <v>0.997</v>
      </c>
      <c r="M15" s="350">
        <v>0.998</v>
      </c>
      <c r="N15" s="350">
        <v>1</v>
      </c>
      <c r="O15" s="350">
        <v>1</v>
      </c>
      <c r="P15" s="350" t="s">
        <v>31</v>
      </c>
      <c r="Q15" s="350" t="s">
        <v>31</v>
      </c>
      <c r="R15" s="350" t="s">
        <v>31</v>
      </c>
      <c r="S15" s="350" t="s">
        <v>31</v>
      </c>
      <c r="T15" s="350" t="s">
        <v>31</v>
      </c>
      <c r="U15" s="350" t="s">
        <v>31</v>
      </c>
      <c r="V15" s="350" t="s">
        <v>31</v>
      </c>
      <c r="W15" s="350" t="s">
        <v>31</v>
      </c>
    </row>
    <row r="16" spans="1:24" ht="12.75" customHeight="1">
      <c r="A16" s="181">
        <f t="shared" si="6"/>
        <v>1994</v>
      </c>
      <c r="B16" s="350">
        <v>1.0109999999999999</v>
      </c>
      <c r="C16" s="350">
        <v>1.004</v>
      </c>
      <c r="D16" s="350">
        <v>1.0069999999999999</v>
      </c>
      <c r="E16" s="350">
        <v>1.006</v>
      </c>
      <c r="F16" s="350">
        <v>1.0009999999999999</v>
      </c>
      <c r="G16" s="350">
        <v>0.996</v>
      </c>
      <c r="H16" s="350">
        <v>0.995</v>
      </c>
      <c r="I16" s="350">
        <v>1.002</v>
      </c>
      <c r="J16" s="350">
        <v>1.002</v>
      </c>
      <c r="K16" s="350">
        <v>0.999</v>
      </c>
      <c r="L16" s="350">
        <v>0.997</v>
      </c>
      <c r="M16" s="350">
        <v>0.998</v>
      </c>
      <c r="N16" s="350">
        <v>0.998</v>
      </c>
      <c r="O16" s="350" t="s">
        <v>31</v>
      </c>
      <c r="P16" s="350" t="s">
        <v>31</v>
      </c>
      <c r="Q16" s="350" t="s">
        <v>31</v>
      </c>
      <c r="R16" s="350" t="s">
        <v>31</v>
      </c>
      <c r="S16" s="350" t="s">
        <v>31</v>
      </c>
      <c r="T16" s="350" t="s">
        <v>31</v>
      </c>
      <c r="U16" s="350" t="s">
        <v>31</v>
      </c>
      <c r="V16" s="350" t="s">
        <v>31</v>
      </c>
      <c r="W16" s="350" t="s">
        <v>31</v>
      </c>
    </row>
    <row r="17" spans="1:24" ht="12.75" customHeight="1">
      <c r="A17" s="181">
        <f t="shared" si="6"/>
        <v>1995</v>
      </c>
      <c r="B17" s="350">
        <v>1.0149999999999999</v>
      </c>
      <c r="C17" s="350">
        <v>0.996</v>
      </c>
      <c r="D17" s="350">
        <v>1.006</v>
      </c>
      <c r="E17" s="350">
        <v>0.999</v>
      </c>
      <c r="F17" s="350">
        <v>1.006</v>
      </c>
      <c r="G17" s="350">
        <v>0.99199999999999999</v>
      </c>
      <c r="H17" s="350">
        <v>0.999</v>
      </c>
      <c r="I17" s="350">
        <v>1.0009999999999999</v>
      </c>
      <c r="J17" s="350">
        <v>0.999</v>
      </c>
      <c r="K17" s="350">
        <v>1.0009999999999999</v>
      </c>
      <c r="L17" s="350">
        <v>1</v>
      </c>
      <c r="M17" s="350">
        <v>1.0029999999999999</v>
      </c>
      <c r="N17" s="350" t="s">
        <v>31</v>
      </c>
      <c r="O17" s="350" t="s">
        <v>31</v>
      </c>
      <c r="P17" s="350" t="s">
        <v>31</v>
      </c>
      <c r="Q17" s="350" t="s">
        <v>31</v>
      </c>
      <c r="R17" s="350" t="s">
        <v>31</v>
      </c>
      <c r="S17" s="350" t="s">
        <v>31</v>
      </c>
      <c r="T17" s="350" t="s">
        <v>31</v>
      </c>
      <c r="U17" s="350" t="s">
        <v>31</v>
      </c>
      <c r="V17" s="350" t="s">
        <v>31</v>
      </c>
      <c r="W17" s="350" t="s">
        <v>31</v>
      </c>
    </row>
    <row r="18" spans="1:24" ht="12.75" customHeight="1">
      <c r="A18" s="181">
        <f t="shared" si="6"/>
        <v>1996</v>
      </c>
      <c r="B18" s="350">
        <v>1.008</v>
      </c>
      <c r="C18" s="350">
        <v>1.0049999999999999</v>
      </c>
      <c r="D18" s="350">
        <v>1.0009999999999999</v>
      </c>
      <c r="E18" s="350">
        <v>0.998</v>
      </c>
      <c r="F18" s="350">
        <v>0.999</v>
      </c>
      <c r="G18" s="350">
        <v>0.997</v>
      </c>
      <c r="H18" s="350">
        <v>1</v>
      </c>
      <c r="I18" s="350">
        <v>0.999</v>
      </c>
      <c r="J18" s="350">
        <v>0.997</v>
      </c>
      <c r="K18" s="350">
        <v>1.0029999999999999</v>
      </c>
      <c r="L18" s="350">
        <v>1.0009999999999999</v>
      </c>
      <c r="M18" s="350" t="s">
        <v>31</v>
      </c>
      <c r="N18" s="350" t="s">
        <v>31</v>
      </c>
      <c r="O18" s="350" t="s">
        <v>31</v>
      </c>
      <c r="P18" s="350" t="s">
        <v>31</v>
      </c>
      <c r="Q18" s="350" t="s">
        <v>31</v>
      </c>
      <c r="R18" s="350" t="s">
        <v>31</v>
      </c>
      <c r="S18" s="350" t="s">
        <v>31</v>
      </c>
      <c r="T18" s="350" t="s">
        <v>31</v>
      </c>
      <c r="U18" s="350" t="s">
        <v>31</v>
      </c>
      <c r="V18" s="350" t="s">
        <v>31</v>
      </c>
      <c r="W18" s="350" t="s">
        <v>31</v>
      </c>
    </row>
    <row r="19" spans="1:24" ht="12.75" customHeight="1">
      <c r="A19" s="181">
        <f t="shared" si="6"/>
        <v>1997</v>
      </c>
      <c r="B19" s="350">
        <v>1.0009999999999999</v>
      </c>
      <c r="C19" s="350">
        <v>0.99399999999999999</v>
      </c>
      <c r="D19" s="350">
        <v>0.998</v>
      </c>
      <c r="E19" s="350">
        <v>0.997</v>
      </c>
      <c r="F19" s="350">
        <v>0.998</v>
      </c>
      <c r="G19" s="350">
        <v>1.0009999999999999</v>
      </c>
      <c r="H19" s="350">
        <v>0.997</v>
      </c>
      <c r="I19" s="350">
        <v>0.999</v>
      </c>
      <c r="J19" s="350">
        <v>1</v>
      </c>
      <c r="K19" s="350">
        <v>0.995</v>
      </c>
      <c r="L19" s="350" t="s">
        <v>31</v>
      </c>
      <c r="M19" s="350" t="s">
        <v>31</v>
      </c>
      <c r="N19" s="350" t="s">
        <v>31</v>
      </c>
      <c r="O19" s="350" t="s">
        <v>31</v>
      </c>
      <c r="P19" s="350" t="s">
        <v>31</v>
      </c>
      <c r="Q19" s="350" t="s">
        <v>31</v>
      </c>
      <c r="R19" s="350" t="s">
        <v>31</v>
      </c>
      <c r="S19" s="350" t="s">
        <v>31</v>
      </c>
      <c r="T19" s="350" t="s">
        <v>31</v>
      </c>
      <c r="U19" s="350" t="s">
        <v>31</v>
      </c>
      <c r="V19" s="350" t="s">
        <v>31</v>
      </c>
      <c r="W19" s="350" t="s">
        <v>31</v>
      </c>
    </row>
    <row r="20" spans="1:24" ht="12.75" customHeight="1">
      <c r="A20" s="181">
        <f t="shared" si="6"/>
        <v>1998</v>
      </c>
      <c r="B20" s="350">
        <v>1.0009999999999999</v>
      </c>
      <c r="C20" s="350">
        <v>1.0009999999999999</v>
      </c>
      <c r="D20" s="350">
        <v>0.99399999999999999</v>
      </c>
      <c r="E20" s="350">
        <v>1.0009999999999999</v>
      </c>
      <c r="F20" s="350">
        <v>1.0029999999999999</v>
      </c>
      <c r="G20" s="350">
        <v>1</v>
      </c>
      <c r="H20" s="350">
        <v>0.999</v>
      </c>
      <c r="I20" s="350">
        <v>0.99399999999999999</v>
      </c>
      <c r="J20" s="350">
        <v>1.0009999999999999</v>
      </c>
      <c r="K20" s="350" t="s">
        <v>31</v>
      </c>
      <c r="L20" s="350" t="s">
        <v>31</v>
      </c>
      <c r="M20" s="350" t="s">
        <v>31</v>
      </c>
      <c r="N20" s="350" t="s">
        <v>31</v>
      </c>
      <c r="O20" s="350" t="s">
        <v>31</v>
      </c>
      <c r="P20" s="350" t="s">
        <v>31</v>
      </c>
      <c r="Q20" s="350" t="s">
        <v>31</v>
      </c>
      <c r="R20" s="350" t="s">
        <v>31</v>
      </c>
      <c r="S20" s="350" t="s">
        <v>31</v>
      </c>
      <c r="T20" s="350" t="s">
        <v>31</v>
      </c>
      <c r="U20" s="350" t="s">
        <v>31</v>
      </c>
      <c r="V20" s="350" t="s">
        <v>31</v>
      </c>
      <c r="W20" s="350" t="s">
        <v>31</v>
      </c>
    </row>
    <row r="21" spans="1:24" ht="12.75" customHeight="1">
      <c r="A21" s="181">
        <f t="shared" si="6"/>
        <v>1999</v>
      </c>
      <c r="B21" s="350">
        <v>0.999</v>
      </c>
      <c r="C21" s="350">
        <v>0.995</v>
      </c>
      <c r="D21" s="350">
        <v>1.002</v>
      </c>
      <c r="E21" s="350">
        <v>0.999</v>
      </c>
      <c r="F21" s="350">
        <v>0.999</v>
      </c>
      <c r="G21" s="350">
        <v>0.999</v>
      </c>
      <c r="H21" s="350">
        <v>0.998</v>
      </c>
      <c r="I21" s="350">
        <v>1</v>
      </c>
      <c r="J21" s="350" t="s">
        <v>31</v>
      </c>
      <c r="K21" s="350" t="s">
        <v>31</v>
      </c>
      <c r="L21" s="350" t="s">
        <v>31</v>
      </c>
      <c r="M21" s="350" t="s">
        <v>31</v>
      </c>
      <c r="N21" s="350" t="s">
        <v>31</v>
      </c>
      <c r="O21" s="350" t="s">
        <v>31</v>
      </c>
      <c r="P21" s="350" t="s">
        <v>31</v>
      </c>
      <c r="Q21" s="350" t="s">
        <v>31</v>
      </c>
      <c r="R21" s="350" t="s">
        <v>31</v>
      </c>
      <c r="S21" s="350" t="s">
        <v>31</v>
      </c>
      <c r="T21" s="350" t="s">
        <v>31</v>
      </c>
      <c r="U21" s="350" t="s">
        <v>31</v>
      </c>
      <c r="V21" s="350" t="s">
        <v>31</v>
      </c>
      <c r="W21" s="350" t="s">
        <v>31</v>
      </c>
    </row>
    <row r="22" spans="1:24" ht="12.75" customHeight="1">
      <c r="A22" s="181">
        <f t="shared" si="6"/>
        <v>2000</v>
      </c>
      <c r="B22" s="350">
        <v>0.996</v>
      </c>
      <c r="C22" s="350">
        <v>0.999</v>
      </c>
      <c r="D22" s="350">
        <v>0.999</v>
      </c>
      <c r="E22" s="350">
        <v>1</v>
      </c>
      <c r="F22" s="350">
        <v>0.998</v>
      </c>
      <c r="G22" s="350">
        <v>0.999</v>
      </c>
      <c r="H22" s="350">
        <v>1</v>
      </c>
      <c r="I22" s="350" t="s">
        <v>31</v>
      </c>
      <c r="J22" s="350" t="s">
        <v>31</v>
      </c>
      <c r="K22" s="350" t="s">
        <v>31</v>
      </c>
      <c r="L22" s="350" t="s">
        <v>31</v>
      </c>
      <c r="M22" s="350" t="s">
        <v>31</v>
      </c>
      <c r="N22" s="350" t="s">
        <v>31</v>
      </c>
      <c r="O22" s="350" t="s">
        <v>31</v>
      </c>
      <c r="P22" s="350" t="s">
        <v>31</v>
      </c>
      <c r="Q22" s="350" t="s">
        <v>31</v>
      </c>
      <c r="R22" s="350" t="s">
        <v>31</v>
      </c>
      <c r="S22" s="350" t="s">
        <v>31</v>
      </c>
      <c r="T22" s="350" t="s">
        <v>31</v>
      </c>
      <c r="U22" s="350" t="s">
        <v>31</v>
      </c>
      <c r="V22" s="350" t="s">
        <v>31</v>
      </c>
      <c r="W22" s="350" t="s">
        <v>31</v>
      </c>
    </row>
    <row r="23" spans="1:24" ht="12.75" customHeight="1">
      <c r="A23" s="181">
        <f t="shared" si="6"/>
        <v>2001</v>
      </c>
      <c r="B23" s="350">
        <v>1.0009999999999999</v>
      </c>
      <c r="C23" s="350">
        <v>1.0029999999999999</v>
      </c>
      <c r="D23" s="350">
        <v>0.998</v>
      </c>
      <c r="E23" s="350">
        <v>0.998</v>
      </c>
      <c r="F23" s="350">
        <v>0.999</v>
      </c>
      <c r="G23" s="350">
        <v>0.997</v>
      </c>
      <c r="H23" s="350" t="s">
        <v>31</v>
      </c>
      <c r="I23" s="350" t="s">
        <v>31</v>
      </c>
      <c r="J23" s="350" t="s">
        <v>31</v>
      </c>
      <c r="K23" s="350" t="s">
        <v>31</v>
      </c>
      <c r="L23" s="350" t="s">
        <v>31</v>
      </c>
      <c r="M23" s="350" t="s">
        <v>31</v>
      </c>
      <c r="N23" s="350" t="s">
        <v>31</v>
      </c>
      <c r="O23" s="350" t="s">
        <v>31</v>
      </c>
      <c r="P23" s="350" t="s">
        <v>31</v>
      </c>
      <c r="Q23" s="350" t="s">
        <v>31</v>
      </c>
      <c r="R23" s="350" t="s">
        <v>31</v>
      </c>
      <c r="S23" s="350" t="s">
        <v>31</v>
      </c>
      <c r="T23" s="350" t="s">
        <v>31</v>
      </c>
      <c r="U23" s="350" t="s">
        <v>31</v>
      </c>
      <c r="V23" s="350" t="s">
        <v>31</v>
      </c>
      <c r="W23" s="350" t="s">
        <v>31</v>
      </c>
    </row>
    <row r="24" spans="1:24" ht="12.75" customHeight="1">
      <c r="A24" s="181">
        <f t="shared" si="6"/>
        <v>2002</v>
      </c>
      <c r="B24" s="350">
        <v>1.0009999999999999</v>
      </c>
      <c r="C24" s="350">
        <v>1.0009999999999999</v>
      </c>
      <c r="D24" s="350">
        <v>0.999</v>
      </c>
      <c r="E24" s="350">
        <v>1</v>
      </c>
      <c r="F24" s="350">
        <v>0.999</v>
      </c>
      <c r="G24" s="350" t="s">
        <v>31</v>
      </c>
      <c r="H24" s="350" t="s">
        <v>31</v>
      </c>
      <c r="I24" s="350" t="s">
        <v>31</v>
      </c>
      <c r="J24" s="350" t="s">
        <v>31</v>
      </c>
      <c r="K24" s="350" t="s">
        <v>31</v>
      </c>
      <c r="L24" s="350" t="s">
        <v>31</v>
      </c>
      <c r="M24" s="350" t="s">
        <v>31</v>
      </c>
      <c r="N24" s="350" t="s">
        <v>31</v>
      </c>
      <c r="O24" s="350" t="s">
        <v>31</v>
      </c>
      <c r="P24" s="350" t="s">
        <v>31</v>
      </c>
      <c r="Q24" s="350" t="s">
        <v>31</v>
      </c>
      <c r="R24" s="350" t="s">
        <v>31</v>
      </c>
      <c r="S24" s="350" t="s">
        <v>31</v>
      </c>
      <c r="T24" s="350" t="s">
        <v>31</v>
      </c>
      <c r="U24" s="350" t="s">
        <v>31</v>
      </c>
      <c r="V24" s="350" t="s">
        <v>31</v>
      </c>
      <c r="W24" s="350" t="s">
        <v>31</v>
      </c>
    </row>
    <row r="25" spans="1:24" ht="12.75" customHeight="1">
      <c r="A25" s="181">
        <f t="shared" si="6"/>
        <v>2003</v>
      </c>
      <c r="B25" s="350">
        <v>1.0009999999999999</v>
      </c>
      <c r="C25" s="350">
        <v>0.998</v>
      </c>
      <c r="D25" s="350">
        <v>1</v>
      </c>
      <c r="E25" s="350">
        <v>1</v>
      </c>
      <c r="F25" s="350" t="s">
        <v>31</v>
      </c>
      <c r="G25" s="350" t="s">
        <v>31</v>
      </c>
      <c r="H25" s="350" t="s">
        <v>31</v>
      </c>
      <c r="I25" s="350" t="s">
        <v>31</v>
      </c>
      <c r="J25" s="350" t="s">
        <v>31</v>
      </c>
      <c r="K25" s="350" t="s">
        <v>31</v>
      </c>
      <c r="L25" s="350" t="s">
        <v>31</v>
      </c>
      <c r="M25" s="350" t="s">
        <v>31</v>
      </c>
      <c r="N25" s="350" t="s">
        <v>31</v>
      </c>
      <c r="O25" s="350" t="s">
        <v>31</v>
      </c>
      <c r="P25" s="350" t="s">
        <v>31</v>
      </c>
      <c r="Q25" s="350" t="s">
        <v>31</v>
      </c>
      <c r="R25" s="350" t="s">
        <v>31</v>
      </c>
      <c r="S25" s="350" t="s">
        <v>31</v>
      </c>
      <c r="T25" s="350" t="s">
        <v>31</v>
      </c>
      <c r="U25" s="350" t="s">
        <v>31</v>
      </c>
      <c r="V25" s="350" t="s">
        <v>31</v>
      </c>
      <c r="W25" s="350" t="s">
        <v>31</v>
      </c>
    </row>
    <row r="26" spans="1:24" ht="12.75" customHeight="1">
      <c r="A26" s="181">
        <f t="shared" si="6"/>
        <v>2004</v>
      </c>
      <c r="B26" s="350">
        <v>0.999</v>
      </c>
      <c r="C26" s="350">
        <v>1</v>
      </c>
      <c r="D26" s="350">
        <v>1.004</v>
      </c>
      <c r="E26" s="350" t="s">
        <v>31</v>
      </c>
      <c r="F26" s="350" t="s">
        <v>31</v>
      </c>
      <c r="G26" s="350" t="s">
        <v>31</v>
      </c>
      <c r="H26" s="350" t="s">
        <v>31</v>
      </c>
      <c r="I26" s="350" t="s">
        <v>31</v>
      </c>
      <c r="J26" s="350" t="s">
        <v>31</v>
      </c>
      <c r="K26" s="350" t="s">
        <v>31</v>
      </c>
      <c r="L26" s="350" t="s">
        <v>31</v>
      </c>
      <c r="M26" s="350" t="s">
        <v>31</v>
      </c>
      <c r="N26" s="350" t="s">
        <v>31</v>
      </c>
      <c r="O26" s="350" t="s">
        <v>31</v>
      </c>
      <c r="P26" s="350" t="s">
        <v>31</v>
      </c>
      <c r="Q26" s="350" t="s">
        <v>31</v>
      </c>
      <c r="R26" s="350" t="s">
        <v>31</v>
      </c>
      <c r="S26" s="350" t="s">
        <v>31</v>
      </c>
      <c r="T26" s="350" t="s">
        <v>31</v>
      </c>
      <c r="U26" s="350" t="s">
        <v>31</v>
      </c>
      <c r="V26" s="350" t="s">
        <v>31</v>
      </c>
      <c r="W26" s="350" t="s">
        <v>31</v>
      </c>
    </row>
    <row r="27" spans="1:24" ht="12.75" customHeight="1">
      <c r="A27" s="181">
        <f t="shared" si="6"/>
        <v>2005</v>
      </c>
      <c r="B27" s="350">
        <v>0.999</v>
      </c>
      <c r="C27" s="350">
        <v>1</v>
      </c>
      <c r="D27" s="350" t="s">
        <v>31</v>
      </c>
      <c r="E27" s="350" t="s">
        <v>31</v>
      </c>
      <c r="F27" s="350" t="s">
        <v>31</v>
      </c>
      <c r="G27" s="350" t="s">
        <v>31</v>
      </c>
      <c r="H27" s="350" t="s">
        <v>31</v>
      </c>
      <c r="I27" s="350" t="s">
        <v>31</v>
      </c>
      <c r="J27" s="350" t="s">
        <v>31</v>
      </c>
      <c r="K27" s="350" t="s">
        <v>31</v>
      </c>
      <c r="L27" s="350" t="s">
        <v>31</v>
      </c>
      <c r="M27" s="350" t="s">
        <v>31</v>
      </c>
      <c r="N27" s="350" t="s">
        <v>31</v>
      </c>
      <c r="O27" s="350" t="s">
        <v>31</v>
      </c>
      <c r="P27" s="350" t="s">
        <v>31</v>
      </c>
      <c r="Q27" s="350" t="s">
        <v>31</v>
      </c>
      <c r="R27" s="350" t="s">
        <v>31</v>
      </c>
      <c r="S27" s="350" t="s">
        <v>31</v>
      </c>
      <c r="T27" s="350" t="s">
        <v>31</v>
      </c>
      <c r="U27" s="350" t="s">
        <v>31</v>
      </c>
      <c r="V27" s="350" t="s">
        <v>31</v>
      </c>
      <c r="W27" s="350" t="s">
        <v>31</v>
      </c>
    </row>
    <row r="28" spans="1:24" ht="12.75" customHeight="1">
      <c r="A28" s="181">
        <f>'Exhibit 2.1.2'!A28</f>
        <v>2006</v>
      </c>
      <c r="B28" s="350">
        <v>1</v>
      </c>
      <c r="C28" s="350" t="s">
        <v>31</v>
      </c>
      <c r="D28" s="350" t="s">
        <v>31</v>
      </c>
      <c r="E28" s="350" t="s">
        <v>31</v>
      </c>
      <c r="F28" s="350" t="s">
        <v>31</v>
      </c>
      <c r="G28" s="350" t="s">
        <v>31</v>
      </c>
      <c r="H28" s="350" t="s">
        <v>31</v>
      </c>
      <c r="I28" s="350" t="s">
        <v>31</v>
      </c>
      <c r="J28" s="350" t="s">
        <v>31</v>
      </c>
      <c r="K28" s="350" t="s">
        <v>31</v>
      </c>
      <c r="L28" s="350" t="s">
        <v>31</v>
      </c>
      <c r="M28" s="350" t="s">
        <v>31</v>
      </c>
      <c r="N28" s="350" t="s">
        <v>31</v>
      </c>
      <c r="O28" s="350" t="s">
        <v>31</v>
      </c>
      <c r="P28" s="350" t="s">
        <v>31</v>
      </c>
      <c r="Q28" s="350" t="s">
        <v>31</v>
      </c>
      <c r="R28" s="350" t="s">
        <v>31</v>
      </c>
      <c r="S28" s="350" t="s">
        <v>31</v>
      </c>
      <c r="T28" s="350" t="s">
        <v>31</v>
      </c>
      <c r="U28" s="350" t="s">
        <v>31</v>
      </c>
      <c r="V28" s="350" t="s">
        <v>31</v>
      </c>
      <c r="W28" s="350" t="s">
        <v>31</v>
      </c>
    </row>
    <row r="29" spans="1:24">
      <c r="A29" s="283"/>
      <c r="B29" s="183"/>
      <c r="C29" s="183"/>
      <c r="D29" s="183"/>
      <c r="E29" s="183"/>
      <c r="F29" s="183"/>
      <c r="G29" s="183"/>
      <c r="H29" s="183"/>
      <c r="I29" s="183"/>
      <c r="J29" s="183"/>
      <c r="K29" s="183"/>
      <c r="L29" s="183"/>
      <c r="M29" s="183"/>
      <c r="N29" s="183"/>
      <c r="O29" s="183"/>
      <c r="P29" s="183"/>
      <c r="Q29" s="54"/>
      <c r="R29" s="183"/>
      <c r="S29" s="183"/>
      <c r="T29" s="183"/>
      <c r="U29" s="183"/>
      <c r="V29" s="183"/>
      <c r="W29" s="183"/>
    </row>
    <row r="30" spans="1:24">
      <c r="A30" s="186"/>
      <c r="B30" s="183"/>
      <c r="C30" s="183"/>
      <c r="D30" s="183"/>
      <c r="E30" s="183"/>
      <c r="F30" s="183"/>
      <c r="G30" s="183"/>
      <c r="H30" s="183"/>
      <c r="I30" s="183"/>
      <c r="J30" s="183"/>
      <c r="K30" s="183"/>
      <c r="L30" s="183"/>
      <c r="M30" s="183"/>
      <c r="N30" s="183"/>
      <c r="O30" s="183"/>
      <c r="P30" s="183"/>
      <c r="Q30" s="183"/>
      <c r="R30" s="183"/>
      <c r="S30" s="183"/>
      <c r="T30" s="183"/>
      <c r="U30" s="183"/>
      <c r="V30" s="183"/>
      <c r="W30" s="183"/>
    </row>
    <row r="31" spans="1:24">
      <c r="A31" s="181" t="s">
        <v>20</v>
      </c>
      <c r="B31" s="351">
        <f>AVERAGE(B23:B28)</f>
        <v>1.0001666666666666</v>
      </c>
      <c r="C31" s="351">
        <f>AVERAGE(C22:C27)</f>
        <v>1.0001666666666666</v>
      </c>
      <c r="D31" s="351">
        <f>AVERAGE(D21:D26)</f>
        <v>1.0003333333333331</v>
      </c>
      <c r="E31" s="351">
        <f>AVERAGE(E20:E25)</f>
        <v>0.9996666666666667</v>
      </c>
      <c r="F31" s="351">
        <f>AVERAGE(F19:F24)</f>
        <v>0.9993333333333333</v>
      </c>
      <c r="G31" s="351">
        <f>AVERAGE(G18:G23)</f>
        <v>0.99883333333333324</v>
      </c>
      <c r="H31" s="351">
        <f>AVERAGE(H17:H22)</f>
        <v>0.99883333333333335</v>
      </c>
      <c r="I31" s="351">
        <f>AVERAGE(I16:I21)</f>
        <v>0.99916666666666665</v>
      </c>
      <c r="J31" s="351">
        <f>AVERAGE(J15:J20)</f>
        <v>0.99949999999999994</v>
      </c>
      <c r="K31" s="351">
        <f>AVERAGE(K14:K19)</f>
        <v>0.99916666666666665</v>
      </c>
      <c r="L31" s="351">
        <f>AVERAGE(L13:L18)</f>
        <v>0.99916666666666654</v>
      </c>
      <c r="M31" s="351">
        <f>AVERAGE(M12:M17)</f>
        <v>0.99933333333333341</v>
      </c>
      <c r="N31" s="351">
        <f>AVERAGE(N11:N16)</f>
        <v>0.9993333333333333</v>
      </c>
      <c r="O31" s="351">
        <f>AVERAGE(O10:O15)</f>
        <v>1.0004999999999999</v>
      </c>
      <c r="P31" s="351">
        <f>AVERAGE(P9:P14)</f>
        <v>0.99983333333333324</v>
      </c>
      <c r="Q31" s="351">
        <f>AVERAGE(Q8:Q13)</f>
        <v>1.0015000000000001</v>
      </c>
      <c r="R31" s="351">
        <f>AVERAGE(R7:R12)</f>
        <v>0.99949999999999994</v>
      </c>
      <c r="S31" s="351">
        <f>AVERAGE(S6:S11)</f>
        <v>1.0004999999999999</v>
      </c>
      <c r="T31" s="351">
        <f>AVERAGE(T5:T10)</f>
        <v>1.0001666666666666</v>
      </c>
      <c r="U31" s="351">
        <f>AVERAGE(U5:U9)</f>
        <v>1.0004</v>
      </c>
      <c r="V31" s="351">
        <f>AVERAGE(V5:V8)</f>
        <v>1.00075</v>
      </c>
      <c r="W31" s="351">
        <f>AVERAGE(W5:W7)</f>
        <v>0.99833333333333341</v>
      </c>
      <c r="X31" s="183"/>
    </row>
    <row r="32" spans="1:24">
      <c r="A32" s="181" t="s">
        <v>21</v>
      </c>
      <c r="B32" s="351">
        <f t="shared" ref="B32:U32" si="7">C32*B31</f>
        <v>0.99494007729631795</v>
      </c>
      <c r="C32" s="351">
        <f t="shared" si="7"/>
        <v>0.99477428158272085</v>
      </c>
      <c r="D32" s="351">
        <f t="shared" si="7"/>
        <v>0.99460851349713797</v>
      </c>
      <c r="E32" s="351">
        <f t="shared" si="7"/>
        <v>0.9942770878012045</v>
      </c>
      <c r="F32" s="351">
        <f t="shared" si="7"/>
        <v>0.99460862400920758</v>
      </c>
      <c r="G32" s="351">
        <f t="shared" si="7"/>
        <v>0.99527213876838649</v>
      </c>
      <c r="H32" s="351">
        <f t="shared" si="7"/>
        <v>0.99643464585521768</v>
      </c>
      <c r="I32" s="351">
        <f t="shared" si="7"/>
        <v>0.99759851078446626</v>
      </c>
      <c r="J32" s="351">
        <f t="shared" si="7"/>
        <v>0.99843053623132572</v>
      </c>
      <c r="K32" s="351">
        <f t="shared" si="7"/>
        <v>0.99893000123194176</v>
      </c>
      <c r="L32" s="351">
        <f t="shared" si="7"/>
        <v>0.99976313717959142</v>
      </c>
      <c r="M32" s="351">
        <f t="shared" si="7"/>
        <v>1.0005969679862468</v>
      </c>
      <c r="N32" s="351">
        <f t="shared" si="7"/>
        <v>1.0012644776380053</v>
      </c>
      <c r="O32" s="351">
        <f t="shared" si="7"/>
        <v>1.0019324325930674</v>
      </c>
      <c r="P32" s="351">
        <f t="shared" si="7"/>
        <v>1.0014317167347002</v>
      </c>
      <c r="Q32" s="351">
        <f t="shared" si="7"/>
        <v>1.0015986498430074</v>
      </c>
      <c r="R32" s="351">
        <f t="shared" si="7"/>
        <v>1.0000985020898725</v>
      </c>
      <c r="S32" s="351">
        <f t="shared" si="7"/>
        <v>1.000598801490618</v>
      </c>
      <c r="T32" s="351">
        <f t="shared" si="7"/>
        <v>1.0000987521145608</v>
      </c>
      <c r="U32" s="351">
        <f t="shared" si="7"/>
        <v>0.99993209676509998</v>
      </c>
      <c r="V32" s="351">
        <f>W32*V31</f>
        <v>0.99953228385155934</v>
      </c>
      <c r="W32" s="351">
        <f>X32*W31</f>
        <v>0.99878319645421865</v>
      </c>
      <c r="X32" s="350">
        <v>1.0004506141444593</v>
      </c>
    </row>
    <row r="33" spans="1:24">
      <c r="A33" s="341"/>
      <c r="B33" s="193"/>
      <c r="C33" s="193"/>
      <c r="D33" s="193"/>
      <c r="E33" s="193"/>
      <c r="F33" s="193"/>
      <c r="G33" s="193"/>
      <c r="H33" s="193"/>
      <c r="I33" s="193"/>
      <c r="J33" s="193"/>
      <c r="K33" s="193"/>
      <c r="L33" s="193"/>
      <c r="M33" s="193"/>
      <c r="N33" s="193"/>
      <c r="O33" s="193"/>
      <c r="P33" s="193"/>
      <c r="Q33" s="193"/>
      <c r="R33" s="193"/>
      <c r="S33" s="193"/>
      <c r="T33" s="193"/>
      <c r="U33" s="193"/>
      <c r="V33" s="193"/>
      <c r="W33" s="193"/>
      <c r="X33" s="192"/>
    </row>
    <row r="34" spans="1:24" ht="12.75" customHeight="1">
      <c r="A34" s="15" t="s">
        <v>320</v>
      </c>
      <c r="B34" s="432" t="s">
        <v>412</v>
      </c>
      <c r="C34" s="432"/>
      <c r="D34" s="432"/>
      <c r="E34" s="432"/>
      <c r="F34" s="432"/>
      <c r="G34" s="432"/>
      <c r="H34" s="432"/>
      <c r="I34" s="432"/>
      <c r="J34" s="432"/>
      <c r="K34" s="432"/>
      <c r="L34" s="432"/>
      <c r="M34" s="432"/>
      <c r="N34" s="432"/>
      <c r="O34" s="432"/>
      <c r="P34" s="432"/>
      <c r="Q34" s="432"/>
      <c r="R34" s="432"/>
      <c r="S34" s="432"/>
      <c r="T34" s="432"/>
      <c r="U34" s="432"/>
      <c r="V34" s="432"/>
      <c r="W34" s="432"/>
    </row>
    <row r="35" spans="1:24">
      <c r="B35" s="432"/>
      <c r="C35" s="432"/>
      <c r="D35" s="432"/>
      <c r="E35" s="432"/>
      <c r="F35" s="432"/>
      <c r="G35" s="432"/>
      <c r="H35" s="432"/>
      <c r="I35" s="432"/>
      <c r="J35" s="432"/>
      <c r="K35" s="432"/>
      <c r="L35" s="432"/>
      <c r="M35" s="432"/>
      <c r="N35" s="432"/>
      <c r="O35" s="432"/>
      <c r="P35" s="432"/>
      <c r="Q35" s="432"/>
      <c r="R35" s="432"/>
      <c r="S35" s="432"/>
      <c r="T35" s="432"/>
      <c r="U35" s="432"/>
      <c r="V35" s="432"/>
      <c r="W35" s="432"/>
    </row>
  </sheetData>
  <mergeCells count="1">
    <mergeCell ref="B34:W35"/>
  </mergeCells>
  <pageMargins left="0.7" right="0.7" top="0.75" bottom="0.75" header="0.3" footer="0.3"/>
  <pageSetup scale="61" orientation="landscape" blackAndWhite="1" r:id="rId1"/>
  <headerFooter scaleWithDoc="0"/>
  <ignoredErrors>
    <ignoredError sqref="B31:S3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36"/>
  <sheetViews>
    <sheetView zoomScaleNormal="100" zoomScaleSheetLayoutView="100" workbookViewId="0"/>
  </sheetViews>
  <sheetFormatPr defaultColWidth="9.140625" defaultRowHeight="12.75"/>
  <cols>
    <col min="1" max="1" width="18.5703125" style="53" customWidth="1"/>
    <col min="2" max="17" width="8.140625" style="53" customWidth="1"/>
    <col min="18" max="16384" width="9.140625" style="53"/>
  </cols>
  <sheetData>
    <row r="1" spans="1:17" ht="13.35" customHeight="1">
      <c r="A1" s="112" t="s">
        <v>28</v>
      </c>
      <c r="B1" s="112"/>
      <c r="C1" s="112"/>
      <c r="D1" s="112"/>
      <c r="E1" s="112"/>
      <c r="F1" s="112"/>
      <c r="G1" s="112"/>
      <c r="H1" s="112"/>
      <c r="I1" s="112"/>
      <c r="J1" s="112"/>
      <c r="K1" s="112"/>
      <c r="L1" s="112"/>
      <c r="M1" s="112"/>
      <c r="N1" s="112"/>
      <c r="O1" s="112"/>
      <c r="P1" s="112"/>
      <c r="Q1" s="112"/>
    </row>
    <row r="2" spans="1:17" ht="13.35" customHeight="1">
      <c r="A2" s="58"/>
      <c r="B2" s="72"/>
      <c r="C2" s="58"/>
      <c r="D2" s="58"/>
      <c r="E2" s="58"/>
      <c r="F2" s="58"/>
      <c r="G2" s="58"/>
      <c r="H2" s="58"/>
      <c r="I2" s="58"/>
      <c r="J2" s="58"/>
      <c r="K2" s="58"/>
      <c r="L2" s="58"/>
      <c r="M2" s="58"/>
      <c r="N2" s="58"/>
      <c r="O2" s="58"/>
      <c r="P2" s="58"/>
      <c r="Q2" s="58"/>
    </row>
    <row r="3" spans="1:17" ht="13.35" customHeight="1">
      <c r="A3" s="58"/>
      <c r="B3" s="114" t="s">
        <v>18</v>
      </c>
      <c r="C3" s="114"/>
      <c r="D3" s="114"/>
      <c r="E3" s="114"/>
      <c r="F3" s="114"/>
      <c r="G3" s="114"/>
      <c r="H3" s="114"/>
      <c r="I3" s="114"/>
      <c r="J3" s="114"/>
      <c r="K3" s="114"/>
      <c r="L3" s="114"/>
      <c r="M3" s="114"/>
      <c r="N3" s="114"/>
      <c r="O3" s="114"/>
      <c r="P3" s="114"/>
      <c r="Q3" s="114"/>
    </row>
    <row r="4" spans="1:17" ht="13.35" customHeight="1">
      <c r="A4" s="6" t="s">
        <v>19</v>
      </c>
      <c r="B4" s="6" t="s">
        <v>422</v>
      </c>
      <c r="C4" s="6" t="s">
        <v>423</v>
      </c>
      <c r="D4" s="6" t="s">
        <v>424</v>
      </c>
      <c r="E4" s="6" t="s">
        <v>425</v>
      </c>
      <c r="F4" s="6" t="s">
        <v>426</v>
      </c>
      <c r="G4" s="6" t="s">
        <v>427</v>
      </c>
      <c r="H4" s="6" t="s">
        <v>428</v>
      </c>
      <c r="I4" s="6" t="s">
        <v>429</v>
      </c>
      <c r="J4" s="6" t="s">
        <v>430</v>
      </c>
      <c r="K4" s="6" t="s">
        <v>431</v>
      </c>
      <c r="L4" s="6" t="s">
        <v>432</v>
      </c>
      <c r="M4" s="6" t="s">
        <v>433</v>
      </c>
      <c r="N4" s="6" t="s">
        <v>434</v>
      </c>
      <c r="O4" s="6" t="s">
        <v>435</v>
      </c>
      <c r="P4" s="6" t="s">
        <v>436</v>
      </c>
      <c r="Q4" s="6" t="s">
        <v>437</v>
      </c>
    </row>
    <row r="5" spans="1:17" ht="13.35" customHeight="1">
      <c r="A5" s="7">
        <f t="shared" ref="A5:A30" si="0">+A6-1</f>
        <v>1996</v>
      </c>
      <c r="B5" s="350" t="s">
        <v>31</v>
      </c>
      <c r="C5" s="350" t="s">
        <v>31</v>
      </c>
      <c r="D5" s="350" t="s">
        <v>31</v>
      </c>
      <c r="E5" s="350" t="s">
        <v>31</v>
      </c>
      <c r="F5" s="350" t="s">
        <v>31</v>
      </c>
      <c r="G5" s="350" t="s">
        <v>31</v>
      </c>
      <c r="H5" s="350" t="s">
        <v>31</v>
      </c>
      <c r="I5" s="350" t="s">
        <v>31</v>
      </c>
      <c r="J5" s="350" t="s">
        <v>31</v>
      </c>
      <c r="K5" s="350" t="s">
        <v>31</v>
      </c>
      <c r="L5" s="350" t="s">
        <v>31</v>
      </c>
      <c r="M5" s="350" t="s">
        <v>31</v>
      </c>
      <c r="N5" s="350" t="s">
        <v>31</v>
      </c>
      <c r="O5" s="350">
        <v>1.006</v>
      </c>
      <c r="P5" s="350">
        <v>1.004</v>
      </c>
      <c r="Q5" s="350">
        <v>1.004</v>
      </c>
    </row>
    <row r="6" spans="1:17" ht="13.35" customHeight="1">
      <c r="A6" s="7">
        <f t="shared" si="0"/>
        <v>1997</v>
      </c>
      <c r="B6" s="350" t="s">
        <v>31</v>
      </c>
      <c r="C6" s="350" t="s">
        <v>31</v>
      </c>
      <c r="D6" s="350" t="s">
        <v>31</v>
      </c>
      <c r="E6" s="350" t="s">
        <v>31</v>
      </c>
      <c r="F6" s="350" t="s">
        <v>31</v>
      </c>
      <c r="G6" s="350" t="s">
        <v>31</v>
      </c>
      <c r="H6" s="350" t="s">
        <v>31</v>
      </c>
      <c r="I6" s="350" t="s">
        <v>31</v>
      </c>
      <c r="J6" s="350" t="s">
        <v>31</v>
      </c>
      <c r="K6" s="350" t="s">
        <v>31</v>
      </c>
      <c r="L6" s="350" t="s">
        <v>31</v>
      </c>
      <c r="M6" s="350" t="s">
        <v>31</v>
      </c>
      <c r="N6" s="350">
        <v>1.0069999999999999</v>
      </c>
      <c r="O6" s="350">
        <v>1.006</v>
      </c>
      <c r="P6" s="350">
        <v>1.006</v>
      </c>
      <c r="Q6" s="350">
        <v>1.0049999999999999</v>
      </c>
    </row>
    <row r="7" spans="1:17" ht="13.35" customHeight="1">
      <c r="A7" s="7">
        <f t="shared" si="0"/>
        <v>1998</v>
      </c>
      <c r="B7" s="350" t="s">
        <v>31</v>
      </c>
      <c r="C7" s="350" t="s">
        <v>31</v>
      </c>
      <c r="D7" s="350" t="s">
        <v>31</v>
      </c>
      <c r="E7" s="350" t="s">
        <v>31</v>
      </c>
      <c r="F7" s="350" t="s">
        <v>31</v>
      </c>
      <c r="G7" s="350" t="s">
        <v>31</v>
      </c>
      <c r="H7" s="350" t="s">
        <v>31</v>
      </c>
      <c r="I7" s="350" t="s">
        <v>31</v>
      </c>
      <c r="J7" s="350" t="s">
        <v>31</v>
      </c>
      <c r="K7" s="350" t="s">
        <v>31</v>
      </c>
      <c r="L7" s="350" t="s">
        <v>31</v>
      </c>
      <c r="M7" s="350">
        <v>1.0089999999999999</v>
      </c>
      <c r="N7" s="350">
        <v>1.0089999999999999</v>
      </c>
      <c r="O7" s="350">
        <v>1.0069999999999999</v>
      </c>
      <c r="P7" s="350">
        <v>1.006</v>
      </c>
      <c r="Q7" s="350">
        <v>1.006</v>
      </c>
    </row>
    <row r="8" spans="1:17" ht="13.35" customHeight="1">
      <c r="A8" s="7">
        <f t="shared" si="0"/>
        <v>1999</v>
      </c>
      <c r="B8" s="350" t="s">
        <v>31</v>
      </c>
      <c r="C8" s="350" t="s">
        <v>31</v>
      </c>
      <c r="D8" s="350" t="s">
        <v>31</v>
      </c>
      <c r="E8" s="350" t="s">
        <v>31</v>
      </c>
      <c r="F8" s="350" t="s">
        <v>31</v>
      </c>
      <c r="G8" s="350" t="s">
        <v>31</v>
      </c>
      <c r="H8" s="350" t="s">
        <v>31</v>
      </c>
      <c r="I8" s="350" t="s">
        <v>31</v>
      </c>
      <c r="J8" s="350" t="s">
        <v>31</v>
      </c>
      <c r="K8" s="350" t="s">
        <v>31</v>
      </c>
      <c r="L8" s="350">
        <v>1.0109999999999999</v>
      </c>
      <c r="M8" s="350">
        <v>1.0089999999999999</v>
      </c>
      <c r="N8" s="350">
        <v>1.008</v>
      </c>
      <c r="O8" s="350">
        <v>1.0069999999999999</v>
      </c>
      <c r="P8" s="350">
        <v>1.006</v>
      </c>
      <c r="Q8" s="350">
        <v>1.004</v>
      </c>
    </row>
    <row r="9" spans="1:17" ht="13.35" customHeight="1">
      <c r="A9" s="7">
        <f t="shared" si="0"/>
        <v>2000</v>
      </c>
      <c r="B9" s="350" t="s">
        <v>31</v>
      </c>
      <c r="C9" s="350" t="s">
        <v>31</v>
      </c>
      <c r="D9" s="350" t="s">
        <v>31</v>
      </c>
      <c r="E9" s="350" t="s">
        <v>31</v>
      </c>
      <c r="F9" s="350" t="s">
        <v>31</v>
      </c>
      <c r="G9" s="350" t="s">
        <v>31</v>
      </c>
      <c r="H9" s="350" t="s">
        <v>31</v>
      </c>
      <c r="I9" s="350" t="s">
        <v>31</v>
      </c>
      <c r="J9" s="350" t="s">
        <v>31</v>
      </c>
      <c r="K9" s="350">
        <v>1.0129999999999999</v>
      </c>
      <c r="L9" s="350">
        <v>1.01</v>
      </c>
      <c r="M9" s="350">
        <v>1.0089999999999999</v>
      </c>
      <c r="N9" s="350">
        <v>1.008</v>
      </c>
      <c r="O9" s="350">
        <v>1.0069999999999999</v>
      </c>
      <c r="P9" s="350">
        <v>1.0049999999999999</v>
      </c>
      <c r="Q9" s="350">
        <v>1.004</v>
      </c>
    </row>
    <row r="10" spans="1:17" ht="13.35" customHeight="1">
      <c r="A10" s="7">
        <f t="shared" si="0"/>
        <v>2001</v>
      </c>
      <c r="B10" s="350" t="s">
        <v>31</v>
      </c>
      <c r="C10" s="350" t="s">
        <v>31</v>
      </c>
      <c r="D10" s="350" t="s">
        <v>31</v>
      </c>
      <c r="E10" s="350" t="s">
        <v>31</v>
      </c>
      <c r="F10" s="350" t="s">
        <v>31</v>
      </c>
      <c r="G10" s="350" t="s">
        <v>31</v>
      </c>
      <c r="H10" s="350" t="s">
        <v>31</v>
      </c>
      <c r="I10" s="350" t="s">
        <v>31</v>
      </c>
      <c r="J10" s="350">
        <v>1.0169999999999999</v>
      </c>
      <c r="K10" s="350">
        <v>1.014</v>
      </c>
      <c r="L10" s="350">
        <v>1.012</v>
      </c>
      <c r="M10" s="350">
        <v>1.0109999999999999</v>
      </c>
      <c r="N10" s="350">
        <v>1.008</v>
      </c>
      <c r="O10" s="350">
        <v>1.0069999999999999</v>
      </c>
      <c r="P10" s="350">
        <v>1.006</v>
      </c>
      <c r="Q10" s="350">
        <v>1.0049999999999999</v>
      </c>
    </row>
    <row r="11" spans="1:17" ht="13.35" customHeight="1">
      <c r="A11" s="7">
        <f t="shared" si="0"/>
        <v>2002</v>
      </c>
      <c r="B11" s="350" t="s">
        <v>31</v>
      </c>
      <c r="C11" s="350" t="s">
        <v>31</v>
      </c>
      <c r="D11" s="350" t="s">
        <v>31</v>
      </c>
      <c r="E11" s="350" t="s">
        <v>31</v>
      </c>
      <c r="F11" s="350" t="s">
        <v>31</v>
      </c>
      <c r="G11" s="350" t="s">
        <v>31</v>
      </c>
      <c r="H11" s="350" t="s">
        <v>31</v>
      </c>
      <c r="I11" s="350">
        <v>1.02</v>
      </c>
      <c r="J11" s="350">
        <v>1.018</v>
      </c>
      <c r="K11" s="350">
        <v>1.0149999999999999</v>
      </c>
      <c r="L11" s="350">
        <v>1.014</v>
      </c>
      <c r="M11" s="350">
        <v>1.008</v>
      </c>
      <c r="N11" s="350">
        <v>1.008</v>
      </c>
      <c r="O11" s="350">
        <v>1.006</v>
      </c>
      <c r="P11" s="350">
        <v>1.006</v>
      </c>
      <c r="Q11" s="350">
        <v>1.0049999999999999</v>
      </c>
    </row>
    <row r="12" spans="1:17" ht="13.35" customHeight="1">
      <c r="A12" s="7">
        <f t="shared" si="0"/>
        <v>2003</v>
      </c>
      <c r="B12" s="350" t="s">
        <v>31</v>
      </c>
      <c r="C12" s="350" t="s">
        <v>31</v>
      </c>
      <c r="D12" s="350" t="s">
        <v>31</v>
      </c>
      <c r="E12" s="350" t="s">
        <v>31</v>
      </c>
      <c r="F12" s="350" t="s">
        <v>31</v>
      </c>
      <c r="G12" s="350" t="s">
        <v>31</v>
      </c>
      <c r="H12" s="350">
        <v>1.03</v>
      </c>
      <c r="I12" s="350">
        <v>1.026</v>
      </c>
      <c r="J12" s="350">
        <v>1.0229999999999999</v>
      </c>
      <c r="K12" s="350">
        <v>1.0209999999999999</v>
      </c>
      <c r="L12" s="350">
        <v>1.0149999999999999</v>
      </c>
      <c r="M12" s="350">
        <v>1.012</v>
      </c>
      <c r="N12" s="350">
        <v>1.0089999999999999</v>
      </c>
      <c r="O12" s="350">
        <v>1.008</v>
      </c>
      <c r="P12" s="350">
        <v>1.0069999999999999</v>
      </c>
      <c r="Q12" s="350">
        <v>1.0069999999999999</v>
      </c>
    </row>
    <row r="13" spans="1:17" ht="13.35" customHeight="1">
      <c r="A13" s="7">
        <f t="shared" si="0"/>
        <v>2004</v>
      </c>
      <c r="B13" s="350" t="s">
        <v>31</v>
      </c>
      <c r="C13" s="350" t="s">
        <v>31</v>
      </c>
      <c r="D13" s="350" t="s">
        <v>31</v>
      </c>
      <c r="E13" s="350" t="s">
        <v>31</v>
      </c>
      <c r="F13" s="350" t="s">
        <v>31</v>
      </c>
      <c r="G13" s="350">
        <v>1.0489999999999999</v>
      </c>
      <c r="H13" s="350">
        <v>1.0409999999999999</v>
      </c>
      <c r="I13" s="350">
        <v>1.0349999999999999</v>
      </c>
      <c r="J13" s="350">
        <v>1.03</v>
      </c>
      <c r="K13" s="350">
        <v>1.02</v>
      </c>
      <c r="L13" s="350">
        <v>1.0149999999999999</v>
      </c>
      <c r="M13" s="350">
        <v>1.0109999999999999</v>
      </c>
      <c r="N13" s="350">
        <v>1.0089999999999999</v>
      </c>
      <c r="O13" s="350">
        <v>1.008</v>
      </c>
      <c r="P13" s="350">
        <v>1.0089999999999999</v>
      </c>
      <c r="Q13" s="350">
        <v>1.006</v>
      </c>
    </row>
    <row r="14" spans="1:17" ht="13.35" customHeight="1">
      <c r="A14" s="7">
        <f t="shared" si="0"/>
        <v>2005</v>
      </c>
      <c r="B14" s="350" t="s">
        <v>31</v>
      </c>
      <c r="C14" s="350" t="s">
        <v>31</v>
      </c>
      <c r="D14" s="350" t="s">
        <v>31</v>
      </c>
      <c r="E14" s="350" t="s">
        <v>31</v>
      </c>
      <c r="F14" s="350">
        <v>1.079</v>
      </c>
      <c r="G14" s="350">
        <v>1.06</v>
      </c>
      <c r="H14" s="350">
        <v>1.0469999999999999</v>
      </c>
      <c r="I14" s="350">
        <v>1.042</v>
      </c>
      <c r="J14" s="350">
        <v>1.028</v>
      </c>
      <c r="K14" s="350">
        <v>1.02</v>
      </c>
      <c r="L14" s="350">
        <v>1.0149999999999999</v>
      </c>
      <c r="M14" s="350">
        <v>1.0129999999999999</v>
      </c>
      <c r="N14" s="350">
        <v>1.01</v>
      </c>
      <c r="O14" s="350">
        <v>1.01</v>
      </c>
      <c r="P14" s="350">
        <v>1.01</v>
      </c>
      <c r="Q14" s="350">
        <v>1.0049999999999999</v>
      </c>
    </row>
    <row r="15" spans="1:17" ht="13.35" customHeight="1">
      <c r="A15" s="7">
        <f t="shared" si="0"/>
        <v>2006</v>
      </c>
      <c r="B15" s="350" t="s">
        <v>31</v>
      </c>
      <c r="C15" s="350" t="s">
        <v>31</v>
      </c>
      <c r="D15" s="350" t="s">
        <v>31</v>
      </c>
      <c r="E15" s="350">
        <v>1.135</v>
      </c>
      <c r="F15" s="350">
        <v>1.0900000000000001</v>
      </c>
      <c r="G15" s="350">
        <v>1.0680000000000001</v>
      </c>
      <c r="H15" s="350">
        <v>1.05</v>
      </c>
      <c r="I15" s="350">
        <v>1.0349999999999999</v>
      </c>
      <c r="J15" s="350">
        <v>1.026</v>
      </c>
      <c r="K15" s="350">
        <v>1.018</v>
      </c>
      <c r="L15" s="350">
        <v>1.016</v>
      </c>
      <c r="M15" s="350">
        <v>1.012</v>
      </c>
      <c r="N15" s="350">
        <v>1.0109999999999999</v>
      </c>
      <c r="O15" s="350">
        <v>1.0089999999999999</v>
      </c>
      <c r="P15" s="350">
        <v>1.0069999999999999</v>
      </c>
      <c r="Q15" s="350">
        <v>1.006</v>
      </c>
    </row>
    <row r="16" spans="1:17" ht="13.35" customHeight="1">
      <c r="A16" s="7">
        <f t="shared" si="0"/>
        <v>2007</v>
      </c>
      <c r="B16" s="350" t="s">
        <v>31</v>
      </c>
      <c r="C16" s="350" t="s">
        <v>31</v>
      </c>
      <c r="D16" s="350">
        <v>1.246</v>
      </c>
      <c r="E16" s="350">
        <v>1.1399999999999999</v>
      </c>
      <c r="F16" s="350">
        <v>1.0920000000000001</v>
      </c>
      <c r="G16" s="350">
        <v>1.0660000000000001</v>
      </c>
      <c r="H16" s="350">
        <v>1.046</v>
      </c>
      <c r="I16" s="350">
        <v>1.0329999999999999</v>
      </c>
      <c r="J16" s="350">
        <v>1.0269999999999999</v>
      </c>
      <c r="K16" s="350">
        <v>1.02</v>
      </c>
      <c r="L16" s="350">
        <v>1.016</v>
      </c>
      <c r="M16" s="350">
        <v>1.0129999999999999</v>
      </c>
      <c r="N16" s="350">
        <v>1.0129999999999999</v>
      </c>
      <c r="O16" s="350">
        <v>1.0069999999999999</v>
      </c>
      <c r="P16" s="350">
        <v>1.006</v>
      </c>
      <c r="Q16" s="350">
        <v>1.0049999999999999</v>
      </c>
    </row>
    <row r="17" spans="1:17" ht="13.35" customHeight="1">
      <c r="A17" s="7">
        <f t="shared" si="0"/>
        <v>2008</v>
      </c>
      <c r="B17" s="350" t="s">
        <v>31</v>
      </c>
      <c r="C17" s="350">
        <v>1.577</v>
      </c>
      <c r="D17" s="350">
        <v>1.2709999999999999</v>
      </c>
      <c r="E17" s="350">
        <v>1.1499999999999999</v>
      </c>
      <c r="F17" s="350">
        <v>1.0920000000000001</v>
      </c>
      <c r="G17" s="350">
        <v>1.06</v>
      </c>
      <c r="H17" s="350">
        <v>1.0409999999999999</v>
      </c>
      <c r="I17" s="350">
        <v>1.0269999999999999</v>
      </c>
      <c r="J17" s="350">
        <v>1.0229999999999999</v>
      </c>
      <c r="K17" s="350">
        <v>1.018</v>
      </c>
      <c r="L17" s="350">
        <v>1.0149999999999999</v>
      </c>
      <c r="M17" s="350">
        <v>1.01</v>
      </c>
      <c r="N17" s="350">
        <v>1.0089999999999999</v>
      </c>
      <c r="O17" s="350">
        <v>1.0069999999999999</v>
      </c>
      <c r="P17" s="350">
        <v>1.006</v>
      </c>
      <c r="Q17" s="350" t="s">
        <v>31</v>
      </c>
    </row>
    <row r="18" spans="1:17" ht="13.35" customHeight="1">
      <c r="A18" s="7">
        <f t="shared" si="0"/>
        <v>2009</v>
      </c>
      <c r="B18" s="350">
        <v>3.069</v>
      </c>
      <c r="C18" s="350">
        <v>1.6160000000000001</v>
      </c>
      <c r="D18" s="350">
        <v>1.28</v>
      </c>
      <c r="E18" s="350">
        <v>1.1559999999999999</v>
      </c>
      <c r="F18" s="350">
        <v>1.0920000000000001</v>
      </c>
      <c r="G18" s="350">
        <v>1.0609999999999999</v>
      </c>
      <c r="H18" s="350">
        <v>1.0429999999999999</v>
      </c>
      <c r="I18" s="350">
        <v>1.0309999999999999</v>
      </c>
      <c r="J18" s="350">
        <v>1.0229999999999999</v>
      </c>
      <c r="K18" s="350">
        <v>1.0189999999999999</v>
      </c>
      <c r="L18" s="350">
        <v>1.0109999999999999</v>
      </c>
      <c r="M18" s="350">
        <v>1.0129999999999999</v>
      </c>
      <c r="N18" s="350">
        <v>1.01</v>
      </c>
      <c r="O18" s="350">
        <v>1.008</v>
      </c>
      <c r="P18" s="350" t="s">
        <v>31</v>
      </c>
      <c r="Q18" s="350" t="s">
        <v>31</v>
      </c>
    </row>
    <row r="19" spans="1:17" ht="13.35" customHeight="1">
      <c r="A19" s="7">
        <f t="shared" si="0"/>
        <v>2010</v>
      </c>
      <c r="B19" s="350">
        <v>3.157</v>
      </c>
      <c r="C19" s="350">
        <v>1.6279999999999999</v>
      </c>
      <c r="D19" s="350">
        <v>1.2809999999999999</v>
      </c>
      <c r="E19" s="350">
        <v>1.147</v>
      </c>
      <c r="F19" s="350">
        <v>1.091</v>
      </c>
      <c r="G19" s="350">
        <v>1.06</v>
      </c>
      <c r="H19" s="350">
        <v>1.038</v>
      </c>
      <c r="I19" s="350">
        <v>1.0269999999999999</v>
      </c>
      <c r="J19" s="350">
        <v>1.0209999999999999</v>
      </c>
      <c r="K19" s="350">
        <v>1.0129999999999999</v>
      </c>
      <c r="L19" s="350">
        <v>1.012</v>
      </c>
      <c r="M19" s="350">
        <v>1.012</v>
      </c>
      <c r="N19" s="350">
        <v>1.0069999999999999</v>
      </c>
      <c r="O19" s="350" t="s">
        <v>31</v>
      </c>
      <c r="P19" s="350" t="s">
        <v>31</v>
      </c>
      <c r="Q19" s="350" t="s">
        <v>31</v>
      </c>
    </row>
    <row r="20" spans="1:17" ht="13.35" customHeight="1">
      <c r="A20" s="7">
        <f t="shared" si="0"/>
        <v>2011</v>
      </c>
      <c r="B20" s="350">
        <v>3.2080000000000002</v>
      </c>
      <c r="C20" s="350">
        <v>1.613</v>
      </c>
      <c r="D20" s="350">
        <v>1.266</v>
      </c>
      <c r="E20" s="350">
        <v>1.1439999999999999</v>
      </c>
      <c r="F20" s="350">
        <v>1.087</v>
      </c>
      <c r="G20" s="350">
        <v>1.056</v>
      </c>
      <c r="H20" s="350">
        <v>1.0409999999999999</v>
      </c>
      <c r="I20" s="350">
        <v>1.026</v>
      </c>
      <c r="J20" s="350">
        <v>1.016</v>
      </c>
      <c r="K20" s="350">
        <v>1.016</v>
      </c>
      <c r="L20" s="350">
        <v>1.01</v>
      </c>
      <c r="M20" s="350">
        <v>1.0069999999999999</v>
      </c>
      <c r="N20" s="350" t="s">
        <v>31</v>
      </c>
      <c r="O20" s="350" t="s">
        <v>31</v>
      </c>
      <c r="P20" s="350" t="s">
        <v>31</v>
      </c>
      <c r="Q20" s="350" t="s">
        <v>31</v>
      </c>
    </row>
    <row r="21" spans="1:17" ht="13.35" customHeight="1">
      <c r="A21" s="7">
        <f t="shared" si="0"/>
        <v>2012</v>
      </c>
      <c r="B21" s="350">
        <v>3.137</v>
      </c>
      <c r="C21" s="350">
        <v>1.597</v>
      </c>
      <c r="D21" s="350">
        <v>1.262</v>
      </c>
      <c r="E21" s="350">
        <v>1.137</v>
      </c>
      <c r="F21" s="350">
        <v>1.087</v>
      </c>
      <c r="G21" s="350">
        <v>1.0509999999999999</v>
      </c>
      <c r="H21" s="350">
        <v>1.034</v>
      </c>
      <c r="I21" s="350">
        <v>1.0229999999999999</v>
      </c>
      <c r="J21" s="350">
        <v>1.0169999999999999</v>
      </c>
      <c r="K21" s="350">
        <v>1.014</v>
      </c>
      <c r="L21" s="350">
        <v>1.012</v>
      </c>
      <c r="M21" s="350" t="s">
        <v>31</v>
      </c>
      <c r="N21" s="350" t="s">
        <v>31</v>
      </c>
      <c r="O21" s="350" t="s">
        <v>31</v>
      </c>
      <c r="P21" s="350" t="s">
        <v>31</v>
      </c>
      <c r="Q21" s="350" t="s">
        <v>31</v>
      </c>
    </row>
    <row r="22" spans="1:17" ht="13.35" customHeight="1">
      <c r="A22" s="7">
        <f t="shared" si="0"/>
        <v>2013</v>
      </c>
      <c r="B22" s="350">
        <v>3.169</v>
      </c>
      <c r="C22" s="350">
        <v>1.6060000000000001</v>
      </c>
      <c r="D22" s="350">
        <v>1.26</v>
      </c>
      <c r="E22" s="350">
        <v>1.129</v>
      </c>
      <c r="F22" s="350">
        <v>1.0720000000000001</v>
      </c>
      <c r="G22" s="350">
        <v>1.044</v>
      </c>
      <c r="H22" s="350">
        <v>1.028</v>
      </c>
      <c r="I22" s="350">
        <v>1.02</v>
      </c>
      <c r="J22" s="350">
        <v>1.014</v>
      </c>
      <c r="K22" s="350">
        <v>1.0109999999999999</v>
      </c>
      <c r="L22" s="350" t="s">
        <v>31</v>
      </c>
      <c r="M22" s="350" t="s">
        <v>31</v>
      </c>
      <c r="N22" s="350" t="s">
        <v>31</v>
      </c>
      <c r="O22" s="350" t="s">
        <v>31</v>
      </c>
      <c r="P22" s="350" t="s">
        <v>31</v>
      </c>
      <c r="Q22" s="350" t="s">
        <v>31</v>
      </c>
    </row>
    <row r="23" spans="1:17" ht="13.35" customHeight="1">
      <c r="A23" s="7">
        <f t="shared" si="0"/>
        <v>2014</v>
      </c>
      <c r="B23" s="350">
        <v>3.2290000000000001</v>
      </c>
      <c r="C23" s="350">
        <v>1.635</v>
      </c>
      <c r="D23" s="350">
        <v>1.2569999999999999</v>
      </c>
      <c r="E23" s="350">
        <v>1.129</v>
      </c>
      <c r="F23" s="350">
        <v>1.071</v>
      </c>
      <c r="G23" s="350">
        <v>1.0389999999999999</v>
      </c>
      <c r="H23" s="350">
        <v>1.0269999999999999</v>
      </c>
      <c r="I23" s="350">
        <v>1.018</v>
      </c>
      <c r="J23" s="350">
        <v>1.0169999999999999</v>
      </c>
      <c r="K23" s="350" t="s">
        <v>31</v>
      </c>
      <c r="L23" s="350" t="s">
        <v>31</v>
      </c>
      <c r="M23" s="350" t="s">
        <v>31</v>
      </c>
      <c r="N23" s="350" t="s">
        <v>31</v>
      </c>
      <c r="O23" s="350" t="s">
        <v>31</v>
      </c>
      <c r="P23" s="350" t="s">
        <v>31</v>
      </c>
      <c r="Q23" s="350" t="s">
        <v>31</v>
      </c>
    </row>
    <row r="24" spans="1:17" ht="13.35" customHeight="1">
      <c r="A24" s="7">
        <f t="shared" si="0"/>
        <v>2015</v>
      </c>
      <c r="B24" s="350">
        <v>3.278</v>
      </c>
      <c r="C24" s="350">
        <v>1.6180000000000001</v>
      </c>
      <c r="D24" s="350">
        <v>1.244</v>
      </c>
      <c r="E24" s="350">
        <v>1.119</v>
      </c>
      <c r="F24" s="350">
        <v>1.0580000000000001</v>
      </c>
      <c r="G24" s="350">
        <v>1.042</v>
      </c>
      <c r="H24" s="350">
        <v>1.026</v>
      </c>
      <c r="I24" s="350">
        <v>1.018</v>
      </c>
      <c r="J24" s="350" t="s">
        <v>31</v>
      </c>
      <c r="K24" s="350" t="s">
        <v>31</v>
      </c>
      <c r="L24" s="350" t="s">
        <v>31</v>
      </c>
      <c r="M24" s="350" t="s">
        <v>31</v>
      </c>
      <c r="N24" s="350" t="s">
        <v>31</v>
      </c>
      <c r="O24" s="350" t="s">
        <v>31</v>
      </c>
      <c r="P24" s="350" t="s">
        <v>31</v>
      </c>
      <c r="Q24" s="350" t="s">
        <v>31</v>
      </c>
    </row>
    <row r="25" spans="1:17" ht="13.35" customHeight="1">
      <c r="A25" s="7">
        <f t="shared" si="0"/>
        <v>2016</v>
      </c>
      <c r="B25" s="350">
        <v>3.2349999999999999</v>
      </c>
      <c r="C25" s="350">
        <v>1.5860000000000001</v>
      </c>
      <c r="D25" s="350">
        <v>1.23</v>
      </c>
      <c r="E25" s="350">
        <v>1.103</v>
      </c>
      <c r="F25" s="350">
        <v>1.06</v>
      </c>
      <c r="G25" s="350">
        <v>1.0429999999999999</v>
      </c>
      <c r="H25" s="350">
        <v>1.028</v>
      </c>
      <c r="I25" s="350" t="s">
        <v>31</v>
      </c>
      <c r="J25" s="350" t="s">
        <v>31</v>
      </c>
      <c r="K25" s="350" t="s">
        <v>31</v>
      </c>
      <c r="L25" s="350" t="s">
        <v>31</v>
      </c>
      <c r="M25" s="350" t="s">
        <v>31</v>
      </c>
      <c r="N25" s="350" t="s">
        <v>31</v>
      </c>
      <c r="O25" s="350" t="s">
        <v>31</v>
      </c>
      <c r="P25" s="350" t="s">
        <v>31</v>
      </c>
      <c r="Q25" s="350" t="s">
        <v>31</v>
      </c>
    </row>
    <row r="26" spans="1:17" ht="13.35" customHeight="1">
      <c r="A26" s="7">
        <f t="shared" si="0"/>
        <v>2017</v>
      </c>
      <c r="B26" s="350">
        <v>3.1850000000000001</v>
      </c>
      <c r="C26" s="350">
        <v>1.569</v>
      </c>
      <c r="D26" s="350">
        <v>1.21</v>
      </c>
      <c r="E26" s="350">
        <v>1.109</v>
      </c>
      <c r="F26" s="350">
        <v>1.0640000000000001</v>
      </c>
      <c r="G26" s="350">
        <v>1.0409999999999999</v>
      </c>
      <c r="H26" s="350" t="s">
        <v>31</v>
      </c>
      <c r="I26" s="350" t="s">
        <v>31</v>
      </c>
      <c r="J26" s="350" t="s">
        <v>31</v>
      </c>
      <c r="K26" s="350" t="s">
        <v>31</v>
      </c>
      <c r="L26" s="350" t="s">
        <v>31</v>
      </c>
      <c r="M26" s="350" t="s">
        <v>31</v>
      </c>
      <c r="N26" s="350" t="s">
        <v>31</v>
      </c>
      <c r="O26" s="350" t="s">
        <v>31</v>
      </c>
      <c r="P26" s="350" t="s">
        <v>31</v>
      </c>
      <c r="Q26" s="350" t="s">
        <v>31</v>
      </c>
    </row>
    <row r="27" spans="1:17" ht="13.35" customHeight="1">
      <c r="A27" s="7">
        <f t="shared" si="0"/>
        <v>2018</v>
      </c>
      <c r="B27" s="350">
        <v>3.11</v>
      </c>
      <c r="C27" s="350">
        <v>1.526</v>
      </c>
      <c r="D27" s="350">
        <v>1.222</v>
      </c>
      <c r="E27" s="350">
        <v>1.111</v>
      </c>
      <c r="F27" s="350">
        <v>1.071</v>
      </c>
      <c r="G27" s="350" t="s">
        <v>31</v>
      </c>
      <c r="H27" s="350" t="s">
        <v>31</v>
      </c>
      <c r="I27" s="350" t="s">
        <v>31</v>
      </c>
      <c r="J27" s="350" t="s">
        <v>31</v>
      </c>
      <c r="K27" s="350" t="s">
        <v>31</v>
      </c>
      <c r="L27" s="350" t="s">
        <v>31</v>
      </c>
      <c r="M27" s="350" t="s">
        <v>31</v>
      </c>
      <c r="N27" s="350" t="s">
        <v>31</v>
      </c>
      <c r="O27" s="350" t="s">
        <v>31</v>
      </c>
      <c r="P27" s="350" t="s">
        <v>31</v>
      </c>
      <c r="Q27" s="350" t="s">
        <v>31</v>
      </c>
    </row>
    <row r="28" spans="1:17" ht="13.35" customHeight="1">
      <c r="A28" s="7">
        <f t="shared" si="0"/>
        <v>2019</v>
      </c>
      <c r="B28" s="350">
        <v>3.0630000000000002</v>
      </c>
      <c r="C28" s="350">
        <v>1.5489999999999999</v>
      </c>
      <c r="D28" s="350">
        <v>1.238</v>
      </c>
      <c r="E28" s="350">
        <v>1.1220000000000001</v>
      </c>
      <c r="F28" s="350" t="s">
        <v>31</v>
      </c>
      <c r="G28" s="350" t="s">
        <v>31</v>
      </c>
      <c r="H28" s="350" t="s">
        <v>31</v>
      </c>
      <c r="I28" s="350" t="s">
        <v>31</v>
      </c>
      <c r="J28" s="350" t="s">
        <v>31</v>
      </c>
      <c r="K28" s="350" t="s">
        <v>31</v>
      </c>
      <c r="L28" s="350" t="s">
        <v>31</v>
      </c>
      <c r="M28" s="350" t="s">
        <v>31</v>
      </c>
      <c r="N28" s="350" t="s">
        <v>31</v>
      </c>
      <c r="O28" s="350" t="s">
        <v>31</v>
      </c>
      <c r="P28" s="350" t="s">
        <v>31</v>
      </c>
      <c r="Q28" s="350" t="s">
        <v>31</v>
      </c>
    </row>
    <row r="29" spans="1:17" ht="13.35" customHeight="1">
      <c r="A29" s="7">
        <f t="shared" si="0"/>
        <v>2020</v>
      </c>
      <c r="B29" s="350">
        <v>2.9580000000000002</v>
      </c>
      <c r="C29" s="350">
        <v>1.54</v>
      </c>
      <c r="D29" s="350">
        <v>1.24</v>
      </c>
      <c r="E29" s="350" t="s">
        <v>31</v>
      </c>
      <c r="F29" s="350" t="s">
        <v>31</v>
      </c>
      <c r="G29" s="350" t="s">
        <v>31</v>
      </c>
      <c r="H29" s="350" t="s">
        <v>31</v>
      </c>
      <c r="I29" s="350" t="s">
        <v>31</v>
      </c>
      <c r="J29" s="350" t="s">
        <v>31</v>
      </c>
      <c r="K29" s="350" t="s">
        <v>31</v>
      </c>
      <c r="L29" s="350" t="s">
        <v>31</v>
      </c>
      <c r="M29" s="350" t="s">
        <v>31</v>
      </c>
      <c r="N29" s="350" t="s">
        <v>31</v>
      </c>
      <c r="O29" s="350" t="s">
        <v>31</v>
      </c>
      <c r="P29" s="350" t="s">
        <v>31</v>
      </c>
      <c r="Q29" s="350" t="s">
        <v>31</v>
      </c>
    </row>
    <row r="30" spans="1:17" ht="13.35" customHeight="1">
      <c r="A30" s="7">
        <f t="shared" si="0"/>
        <v>2021</v>
      </c>
      <c r="B30" s="350">
        <v>2.9369999999999998</v>
      </c>
      <c r="C30" s="350">
        <v>1.53</v>
      </c>
      <c r="D30" s="350" t="s">
        <v>31</v>
      </c>
      <c r="E30" s="350" t="s">
        <v>31</v>
      </c>
      <c r="F30" s="350" t="s">
        <v>31</v>
      </c>
      <c r="G30" s="350" t="s">
        <v>31</v>
      </c>
      <c r="H30" s="350" t="s">
        <v>31</v>
      </c>
      <c r="I30" s="350" t="s">
        <v>31</v>
      </c>
      <c r="J30" s="350" t="s">
        <v>31</v>
      </c>
      <c r="K30" s="350" t="s">
        <v>31</v>
      </c>
      <c r="L30" s="350" t="s">
        <v>31</v>
      </c>
      <c r="M30" s="350" t="s">
        <v>31</v>
      </c>
      <c r="N30" s="350" t="s">
        <v>31</v>
      </c>
      <c r="O30" s="350" t="s">
        <v>31</v>
      </c>
      <c r="P30" s="350" t="s">
        <v>31</v>
      </c>
      <c r="Q30" s="350" t="s">
        <v>31</v>
      </c>
    </row>
    <row r="31" spans="1:17" ht="13.35" customHeight="1">
      <c r="A31" s="7">
        <f>'Exhibit 2.2.1'!A31</f>
        <v>2022</v>
      </c>
      <c r="B31" s="350">
        <v>2.952</v>
      </c>
      <c r="C31" s="350" t="s">
        <v>31</v>
      </c>
      <c r="D31" s="350" t="s">
        <v>31</v>
      </c>
      <c r="E31" s="350" t="s">
        <v>31</v>
      </c>
      <c r="F31" s="350" t="s">
        <v>31</v>
      </c>
      <c r="G31" s="350" t="s">
        <v>31</v>
      </c>
      <c r="H31" s="350" t="s">
        <v>31</v>
      </c>
      <c r="I31" s="350" t="s">
        <v>31</v>
      </c>
      <c r="J31" s="350" t="s">
        <v>31</v>
      </c>
      <c r="K31" s="350" t="s">
        <v>31</v>
      </c>
      <c r="L31" s="350" t="s">
        <v>31</v>
      </c>
      <c r="M31" s="350" t="s">
        <v>31</v>
      </c>
      <c r="N31" s="350" t="s">
        <v>31</v>
      </c>
      <c r="O31" s="350" t="s">
        <v>31</v>
      </c>
      <c r="P31" s="350" t="s">
        <v>31</v>
      </c>
      <c r="Q31" s="350" t="s">
        <v>31</v>
      </c>
    </row>
    <row r="32" spans="1:17" ht="13.35" customHeight="1">
      <c r="A32" s="60"/>
      <c r="B32" s="73"/>
      <c r="C32" s="60"/>
      <c r="D32" s="60"/>
      <c r="E32" s="60"/>
      <c r="F32" s="60"/>
      <c r="G32" s="60"/>
      <c r="H32" s="60"/>
      <c r="I32" s="60"/>
      <c r="J32" s="60"/>
      <c r="K32" s="60"/>
      <c r="L32" s="60"/>
      <c r="M32" s="60"/>
      <c r="N32" s="60"/>
      <c r="O32" s="60"/>
      <c r="P32" s="60"/>
      <c r="Q32" s="90"/>
    </row>
    <row r="33" spans="1:17" ht="13.35" customHeight="1">
      <c r="A33" s="7" t="s">
        <v>20</v>
      </c>
      <c r="B33" s="351">
        <f ca="1">OFFSET(B$32,-COUNTA($B$4:B$4),0)</f>
        <v>2.952</v>
      </c>
      <c r="C33" s="351">
        <f ca="1">OFFSET(C$32,-COUNTA($B$4:C$4),0)</f>
        <v>1.53</v>
      </c>
      <c r="D33" s="351">
        <f ca="1">OFFSET(D$32,-COUNTA($B$4:D$4),0)</f>
        <v>1.24</v>
      </c>
      <c r="E33" s="351">
        <f ca="1">OFFSET(E$32,-COUNTA($B$4:E$4),0)</f>
        <v>1.1220000000000001</v>
      </c>
      <c r="F33" s="351">
        <f ca="1">OFFSET(F$32,-COUNTA($B$4:F$4),0)</f>
        <v>1.071</v>
      </c>
      <c r="G33" s="351">
        <f ca="1">OFFSET(G$32,-COUNTA($B$4:G$4),0)</f>
        <v>1.0409999999999999</v>
      </c>
      <c r="H33" s="351">
        <f ca="1">OFFSET(H$32,-COUNTA($B$4:H$4),0)</f>
        <v>1.028</v>
      </c>
      <c r="I33" s="351">
        <f ca="1">OFFSET(I$32,-COUNTA($B$4:I$4),0)</f>
        <v>1.018</v>
      </c>
      <c r="J33" s="351">
        <f ca="1">AVERAGE(OFFSET(J$30:J$32,-COUNTA($B$4:J$4),0))</f>
        <v>1.0159999999999998</v>
      </c>
      <c r="K33" s="351">
        <f ca="1">AVERAGE(OFFSET(K$30:K$32,-COUNTA($B$4:K$4),0))</f>
        <v>1.0136666666666667</v>
      </c>
      <c r="L33" s="351">
        <f ca="1">AVERAGE(OFFSET(L$30:L$32,-COUNTA($B$4:L$4),0))</f>
        <v>1.0113333333333334</v>
      </c>
      <c r="M33" s="351">
        <f ca="1">AVERAGE(OFFSET(M$30:M$32,-COUNTA($B$4:M$4),0))</f>
        <v>1.0106666666666666</v>
      </c>
      <c r="N33" s="351">
        <f ca="1">AVERAGE(OFFSET(N$30:N$32,-COUNTA($B$4:N$4),0))</f>
        <v>1.0086666666666666</v>
      </c>
      <c r="O33" s="351">
        <f ca="1">AVERAGE(OFFSET(O$30:O$32,-COUNTA($B$4:O$4),0))</f>
        <v>1.0073333333333332</v>
      </c>
      <c r="P33" s="351">
        <f ca="1">AVERAGE(OFFSET(P$30:P$32,-COUNTA($B$4:P$4),0))</f>
        <v>1.0063333333333333</v>
      </c>
      <c r="Q33" s="351">
        <f ca="1">AVERAGE(OFFSET(Q$30:Q$32,-COUNTA($B$4:Q$4),0))</f>
        <v>1.0053333333333334</v>
      </c>
    </row>
    <row r="34" spans="1:17" ht="13.35" customHeight="1">
      <c r="A34" s="7" t="s">
        <v>21</v>
      </c>
      <c r="B34" s="351">
        <f ca="1">C34*B33</f>
        <v>8.2759338537148555</v>
      </c>
      <c r="C34" s="351">
        <f t="shared" ref="C34:P34" ca="1" si="1">D34*C33</f>
        <v>2.8035006279521868</v>
      </c>
      <c r="D34" s="351">
        <f t="shared" ca="1" si="1"/>
        <v>1.8323533516027364</v>
      </c>
      <c r="E34" s="351">
        <f t="shared" ca="1" si="1"/>
        <v>1.4777043158086585</v>
      </c>
      <c r="F34" s="351">
        <f t="shared" ca="1" si="1"/>
        <v>1.3170270194373068</v>
      </c>
      <c r="G34" s="351">
        <f t="shared" ca="1" si="1"/>
        <v>1.2297171049834799</v>
      </c>
      <c r="H34" s="351">
        <f t="shared" ca="1" si="1"/>
        <v>1.1812844428275504</v>
      </c>
      <c r="I34" s="351">
        <f t="shared" ca="1" si="1"/>
        <v>1.1491093801824419</v>
      </c>
      <c r="J34" s="351">
        <f t="shared" ca="1" si="1"/>
        <v>1.1287911396684105</v>
      </c>
      <c r="K34" s="351">
        <f t="shared" ca="1" si="1"/>
        <v>1.1110149012484358</v>
      </c>
      <c r="L34" s="351">
        <f t="shared" ca="1" si="1"/>
        <v>1.0960357460523864</v>
      </c>
      <c r="M34" s="351">
        <f t="shared" ca="1" si="1"/>
        <v>1.0837532096760576</v>
      </c>
      <c r="N34" s="351">
        <f t="shared" ca="1" si="1"/>
        <v>1.0723151810778935</v>
      </c>
      <c r="O34" s="351">
        <f t="shared" ca="1" si="1"/>
        <v>1.063101633586808</v>
      </c>
      <c r="P34" s="351">
        <f t="shared" ca="1" si="1"/>
        <v>1.055362309980286</v>
      </c>
      <c r="Q34" s="351">
        <f ca="1">'Exhibit 2.3.2'!B32*Q33</f>
        <v>1.0487204140247957</v>
      </c>
    </row>
    <row r="35" spans="1:17">
      <c r="A35" s="60"/>
      <c r="B35" s="73"/>
      <c r="C35" s="60"/>
      <c r="D35" s="60"/>
      <c r="E35" s="60"/>
      <c r="F35" s="60"/>
      <c r="G35" s="60"/>
      <c r="H35" s="60"/>
      <c r="I35" s="60"/>
      <c r="J35" s="60"/>
      <c r="K35" s="60"/>
      <c r="L35" s="60"/>
      <c r="M35" s="60"/>
      <c r="N35" s="60"/>
      <c r="O35" s="60"/>
      <c r="P35" s="60"/>
      <c r="Q35" s="60"/>
    </row>
    <row r="36" spans="1:17" ht="12.75" customHeight="1">
      <c r="A36" s="5" t="s">
        <v>356</v>
      </c>
      <c r="B36" s="70" t="s">
        <v>413</v>
      </c>
      <c r="C36" s="118"/>
      <c r="D36" s="118"/>
      <c r="E36" s="118"/>
      <c r="F36" s="118"/>
      <c r="G36" s="118"/>
      <c r="H36" s="118"/>
      <c r="I36" s="118"/>
      <c r="J36" s="118"/>
      <c r="K36" s="118"/>
      <c r="L36" s="118"/>
      <c r="M36" s="118"/>
      <c r="N36" s="118"/>
      <c r="O36" s="118"/>
      <c r="P36" s="118"/>
    </row>
  </sheetData>
  <pageMargins left="0.7" right="0.7" top="0.75" bottom="0.75" header="0.3" footer="0.3"/>
  <pageSetup scale="81" orientation="landscape" blackAndWhite="1"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X36"/>
  <sheetViews>
    <sheetView zoomScaleNormal="100" zoomScaleSheetLayoutView="100" workbookViewId="0"/>
  </sheetViews>
  <sheetFormatPr defaultColWidth="9.140625" defaultRowHeight="12.75"/>
  <cols>
    <col min="1" max="1" width="12.85546875" style="53" bestFit="1" customWidth="1"/>
    <col min="2" max="23" width="7.85546875" style="53" customWidth="1"/>
    <col min="24" max="24" width="13.85546875" style="53" customWidth="1"/>
    <col min="25" max="16384" width="9.140625" style="53"/>
  </cols>
  <sheetData>
    <row r="1" spans="1:24" ht="14.45" customHeight="1">
      <c r="A1" s="189" t="s">
        <v>30</v>
      </c>
      <c r="B1" s="189"/>
      <c r="C1" s="189"/>
      <c r="D1" s="189"/>
      <c r="E1" s="189"/>
      <c r="F1" s="189"/>
      <c r="G1" s="189"/>
      <c r="H1" s="189"/>
      <c r="I1" s="189"/>
      <c r="J1" s="189"/>
      <c r="K1" s="189"/>
      <c r="L1" s="189"/>
      <c r="M1" s="189"/>
      <c r="N1" s="189"/>
      <c r="O1" s="189"/>
      <c r="P1" s="189"/>
      <c r="Q1" s="189"/>
      <c r="R1" s="189"/>
      <c r="S1" s="189"/>
      <c r="T1" s="189"/>
      <c r="U1" s="189"/>
      <c r="V1" s="189"/>
      <c r="W1" s="189"/>
      <c r="X1" s="189"/>
    </row>
    <row r="2" spans="1:24">
      <c r="A2" s="283"/>
      <c r="B2" s="105"/>
      <c r="C2" s="296"/>
      <c r="D2" s="296"/>
      <c r="E2" s="296"/>
      <c r="F2" s="296"/>
      <c r="G2" s="296"/>
      <c r="H2" s="296"/>
      <c r="I2" s="296"/>
      <c r="J2" s="296"/>
      <c r="K2" s="296"/>
      <c r="L2" s="296"/>
      <c r="M2" s="296"/>
      <c r="N2" s="296"/>
      <c r="O2" s="296"/>
      <c r="P2" s="296"/>
      <c r="Q2" s="283"/>
      <c r="R2" s="283"/>
      <c r="S2" s="283"/>
      <c r="T2" s="283"/>
      <c r="U2" s="325"/>
      <c r="V2" s="334"/>
      <c r="W2" s="283"/>
      <c r="X2" s="54"/>
    </row>
    <row r="3" spans="1:24">
      <c r="A3" s="283"/>
      <c r="B3" s="191" t="s">
        <v>18</v>
      </c>
      <c r="C3" s="191"/>
      <c r="D3" s="191"/>
      <c r="E3" s="191"/>
      <c r="F3" s="191"/>
      <c r="G3" s="191"/>
      <c r="H3" s="191"/>
      <c r="I3" s="191"/>
      <c r="J3" s="191"/>
      <c r="K3" s="191"/>
      <c r="L3" s="191"/>
      <c r="M3" s="191"/>
      <c r="N3" s="191"/>
      <c r="O3" s="191"/>
      <c r="P3" s="191"/>
      <c r="Q3" s="191"/>
      <c r="R3" s="191"/>
      <c r="S3" s="191"/>
      <c r="T3" s="191"/>
      <c r="U3" s="191"/>
      <c r="V3" s="191"/>
      <c r="W3" s="191"/>
      <c r="X3" s="191"/>
    </row>
    <row r="4" spans="1:24">
      <c r="A4" s="184" t="s">
        <v>19</v>
      </c>
      <c r="B4" s="184" t="str">
        <f>LEFT('Exhibit 2.3.1'!Q4,3)+12&amp;"/"&amp;RIGHT('Exhibit 2.3.1'!Q4,3)+12</f>
        <v>216/204</v>
      </c>
      <c r="C4" s="184" t="str">
        <f>LEFT(B4,3)+12&amp;"/"&amp;RIGHT(B4,3)+12</f>
        <v>228/216</v>
      </c>
      <c r="D4" s="184" t="str">
        <f t="shared" ref="D4:Q4" si="0">LEFT(C4,3)+12&amp;"/"&amp;RIGHT(C4,3)+12</f>
        <v>240/228</v>
      </c>
      <c r="E4" s="184" t="str">
        <f t="shared" si="0"/>
        <v>252/240</v>
      </c>
      <c r="F4" s="184" t="str">
        <f t="shared" si="0"/>
        <v>264/252</v>
      </c>
      <c r="G4" s="184" t="str">
        <f t="shared" si="0"/>
        <v>276/264</v>
      </c>
      <c r="H4" s="184" t="str">
        <f t="shared" si="0"/>
        <v>288/276</v>
      </c>
      <c r="I4" s="184" t="str">
        <f t="shared" si="0"/>
        <v>300/288</v>
      </c>
      <c r="J4" s="184" t="str">
        <f t="shared" si="0"/>
        <v>312/300</v>
      </c>
      <c r="K4" s="184" t="str">
        <f t="shared" si="0"/>
        <v>324/312</v>
      </c>
      <c r="L4" s="184" t="str">
        <f t="shared" si="0"/>
        <v>336/324</v>
      </c>
      <c r="M4" s="184" t="str">
        <f t="shared" si="0"/>
        <v>348/336</v>
      </c>
      <c r="N4" s="184" t="str">
        <f t="shared" si="0"/>
        <v>360/348</v>
      </c>
      <c r="O4" s="184" t="str">
        <f t="shared" si="0"/>
        <v>372/360</v>
      </c>
      <c r="P4" s="184" t="str">
        <f t="shared" si="0"/>
        <v>384/372</v>
      </c>
      <c r="Q4" s="184" t="str">
        <f t="shared" si="0"/>
        <v>396/384</v>
      </c>
      <c r="R4" s="184" t="str">
        <f t="shared" ref="R4" si="1">LEFT(Q4,3)+12&amp;"/"&amp;RIGHT(Q4,3)+12</f>
        <v>408/396</v>
      </c>
      <c r="S4" s="184" t="str">
        <f t="shared" ref="S4" si="2">LEFT(R4,3)+12&amp;"/"&amp;RIGHT(R4,3)+12</f>
        <v>420/408</v>
      </c>
      <c r="T4" s="184" t="str">
        <f t="shared" ref="T4" si="3">LEFT(S4,3)+12&amp;"/"&amp;RIGHT(S4,3)+12</f>
        <v>432/420</v>
      </c>
      <c r="U4" s="184" t="str">
        <f t="shared" ref="U4" si="4">LEFT(T4,3)+12&amp;"/"&amp;RIGHT(T4,3)+12</f>
        <v>444/432</v>
      </c>
      <c r="V4" s="184" t="str">
        <f t="shared" ref="V4:W4" si="5">LEFT(U4,3)+12&amp;"/"&amp;RIGHT(U4,3)+12</f>
        <v>456/444</v>
      </c>
      <c r="W4" s="184" t="str">
        <f t="shared" si="5"/>
        <v>468/456</v>
      </c>
      <c r="X4" s="184" t="str">
        <f>"ULT/"&amp;LEFT(W4,3)&amp;"Pd (b)"</f>
        <v>ULT/468Pd (b)</v>
      </c>
    </row>
    <row r="5" spans="1:24">
      <c r="A5" s="181">
        <f t="shared" ref="A5:A27" si="6">+A6-1</f>
        <v>1983</v>
      </c>
      <c r="B5" s="350" t="s">
        <v>31</v>
      </c>
      <c r="C5" s="350" t="s">
        <v>31</v>
      </c>
      <c r="D5" s="350" t="s">
        <v>31</v>
      </c>
      <c r="E5" s="350" t="s">
        <v>31</v>
      </c>
      <c r="F5" s="350" t="s">
        <v>31</v>
      </c>
      <c r="G5" s="350" t="s">
        <v>31</v>
      </c>
      <c r="H5" s="350" t="s">
        <v>31</v>
      </c>
      <c r="I5" s="350" t="s">
        <v>31</v>
      </c>
      <c r="J5" s="350" t="s">
        <v>31</v>
      </c>
      <c r="K5" s="350" t="s">
        <v>31</v>
      </c>
      <c r="L5" s="350">
        <v>1.0009999999999999</v>
      </c>
      <c r="M5" s="350">
        <v>1.0009999999999999</v>
      </c>
      <c r="N5" s="350">
        <v>1.0009999999999999</v>
      </c>
      <c r="O5" s="350">
        <v>1.0009999999999999</v>
      </c>
      <c r="P5" s="350">
        <v>1.0009999999999999</v>
      </c>
      <c r="Q5" s="350">
        <v>1.0009999999999999</v>
      </c>
      <c r="R5" s="350">
        <v>1.0009999999999999</v>
      </c>
      <c r="S5" s="350">
        <v>1.0009999999999999</v>
      </c>
      <c r="T5" s="350">
        <v>1.0009999999999999</v>
      </c>
      <c r="U5" s="350">
        <v>1.0009999999999999</v>
      </c>
      <c r="V5" s="350">
        <v>1</v>
      </c>
      <c r="W5" s="350">
        <v>1.0009999999999999</v>
      </c>
      <c r="X5" s="54"/>
    </row>
    <row r="6" spans="1:24">
      <c r="A6" s="181">
        <f t="shared" si="6"/>
        <v>1984</v>
      </c>
      <c r="B6" s="350" t="s">
        <v>31</v>
      </c>
      <c r="C6" s="350" t="s">
        <v>31</v>
      </c>
      <c r="D6" s="350" t="s">
        <v>31</v>
      </c>
      <c r="E6" s="350" t="s">
        <v>31</v>
      </c>
      <c r="F6" s="350" t="s">
        <v>31</v>
      </c>
      <c r="G6" s="350" t="s">
        <v>31</v>
      </c>
      <c r="H6" s="350" t="s">
        <v>31</v>
      </c>
      <c r="I6" s="350" t="s">
        <v>31</v>
      </c>
      <c r="J6" s="350" t="s">
        <v>31</v>
      </c>
      <c r="K6" s="350">
        <v>1.0009999999999999</v>
      </c>
      <c r="L6" s="350">
        <v>1.0009999999999999</v>
      </c>
      <c r="M6" s="350">
        <v>1.0009999999999999</v>
      </c>
      <c r="N6" s="350">
        <v>1.0009999999999999</v>
      </c>
      <c r="O6" s="350">
        <v>1.0009999999999999</v>
      </c>
      <c r="P6" s="350">
        <v>1</v>
      </c>
      <c r="Q6" s="350">
        <v>1.0009999999999999</v>
      </c>
      <c r="R6" s="350">
        <v>1</v>
      </c>
      <c r="S6" s="350">
        <v>1.0009999999999999</v>
      </c>
      <c r="T6" s="350">
        <v>1.0009999999999999</v>
      </c>
      <c r="U6" s="350">
        <v>1</v>
      </c>
      <c r="V6" s="350">
        <v>1.0009999999999999</v>
      </c>
      <c r="W6" s="350">
        <v>1</v>
      </c>
      <c r="X6" s="54"/>
    </row>
    <row r="7" spans="1:24">
      <c r="A7" s="181">
        <f t="shared" si="6"/>
        <v>1985</v>
      </c>
      <c r="B7" s="350" t="s">
        <v>31</v>
      </c>
      <c r="C7" s="350" t="s">
        <v>31</v>
      </c>
      <c r="D7" s="350" t="s">
        <v>31</v>
      </c>
      <c r="E7" s="350" t="s">
        <v>31</v>
      </c>
      <c r="F7" s="350" t="s">
        <v>31</v>
      </c>
      <c r="G7" s="350" t="s">
        <v>31</v>
      </c>
      <c r="H7" s="350" t="s">
        <v>31</v>
      </c>
      <c r="I7" s="350" t="s">
        <v>31</v>
      </c>
      <c r="J7" s="350">
        <v>1.0009999999999999</v>
      </c>
      <c r="K7" s="350">
        <v>1.0009999999999999</v>
      </c>
      <c r="L7" s="350">
        <v>1.0009999999999999</v>
      </c>
      <c r="M7" s="350">
        <v>1.002</v>
      </c>
      <c r="N7" s="350">
        <v>1.0009999999999999</v>
      </c>
      <c r="O7" s="350">
        <v>1.0009999999999999</v>
      </c>
      <c r="P7" s="350">
        <v>1.0009999999999999</v>
      </c>
      <c r="Q7" s="350">
        <v>1.0009999999999999</v>
      </c>
      <c r="R7" s="350">
        <v>1</v>
      </c>
      <c r="S7" s="350">
        <v>1</v>
      </c>
      <c r="T7" s="350">
        <v>1</v>
      </c>
      <c r="U7" s="350">
        <v>1.0009999999999999</v>
      </c>
      <c r="V7" s="350">
        <v>1</v>
      </c>
      <c r="W7" s="350">
        <v>1</v>
      </c>
      <c r="X7" s="54"/>
    </row>
    <row r="8" spans="1:24">
      <c r="A8" s="181">
        <f t="shared" si="6"/>
        <v>1986</v>
      </c>
      <c r="B8" s="350" t="s">
        <v>31</v>
      </c>
      <c r="C8" s="350" t="s">
        <v>31</v>
      </c>
      <c r="D8" s="350" t="s">
        <v>31</v>
      </c>
      <c r="E8" s="350" t="s">
        <v>31</v>
      </c>
      <c r="F8" s="350" t="s">
        <v>31</v>
      </c>
      <c r="G8" s="350" t="s">
        <v>31</v>
      </c>
      <c r="H8" s="350" t="s">
        <v>31</v>
      </c>
      <c r="I8" s="350">
        <v>1.0009999999999999</v>
      </c>
      <c r="J8" s="350">
        <v>1.0009999999999999</v>
      </c>
      <c r="K8" s="350">
        <v>1.0009999999999999</v>
      </c>
      <c r="L8" s="350">
        <v>1.0009999999999999</v>
      </c>
      <c r="M8" s="350">
        <v>1.0009999999999999</v>
      </c>
      <c r="N8" s="350">
        <v>1.0009999999999999</v>
      </c>
      <c r="O8" s="350">
        <v>1.0009999999999999</v>
      </c>
      <c r="P8" s="350">
        <v>1.0009999999999999</v>
      </c>
      <c r="Q8" s="350">
        <v>1</v>
      </c>
      <c r="R8" s="350">
        <v>1.0009999999999999</v>
      </c>
      <c r="S8" s="350">
        <v>1.0009999999999999</v>
      </c>
      <c r="T8" s="350">
        <v>1</v>
      </c>
      <c r="U8" s="350">
        <v>1</v>
      </c>
      <c r="V8" s="350">
        <v>1</v>
      </c>
      <c r="W8" s="350" t="s">
        <v>31</v>
      </c>
      <c r="X8" s="54"/>
    </row>
    <row r="9" spans="1:24">
      <c r="A9" s="181">
        <f t="shared" si="6"/>
        <v>1987</v>
      </c>
      <c r="B9" s="350" t="s">
        <v>31</v>
      </c>
      <c r="C9" s="350" t="s">
        <v>31</v>
      </c>
      <c r="D9" s="350" t="s">
        <v>31</v>
      </c>
      <c r="E9" s="350" t="s">
        <v>31</v>
      </c>
      <c r="F9" s="350" t="s">
        <v>31</v>
      </c>
      <c r="G9" s="350" t="s">
        <v>31</v>
      </c>
      <c r="H9" s="350">
        <v>1.0009999999999999</v>
      </c>
      <c r="I9" s="350">
        <v>1.0009999999999999</v>
      </c>
      <c r="J9" s="350">
        <v>1.002</v>
      </c>
      <c r="K9" s="350">
        <v>1.0009999999999999</v>
      </c>
      <c r="L9" s="350">
        <v>1.0009999999999999</v>
      </c>
      <c r="M9" s="350">
        <v>1.0009999999999999</v>
      </c>
      <c r="N9" s="350">
        <v>1.0009999999999999</v>
      </c>
      <c r="O9" s="350">
        <v>1.0009999999999999</v>
      </c>
      <c r="P9" s="350">
        <v>1.0009999999999999</v>
      </c>
      <c r="Q9" s="350">
        <v>1.0009999999999999</v>
      </c>
      <c r="R9" s="350">
        <v>1.0009999999999999</v>
      </c>
      <c r="S9" s="350">
        <v>1</v>
      </c>
      <c r="T9" s="350">
        <v>1</v>
      </c>
      <c r="U9" s="350">
        <v>1.0009999999999999</v>
      </c>
      <c r="V9" s="350" t="s">
        <v>31</v>
      </c>
      <c r="W9" s="350" t="s">
        <v>31</v>
      </c>
      <c r="X9" s="54"/>
    </row>
    <row r="10" spans="1:24">
      <c r="A10" s="181">
        <f t="shared" si="6"/>
        <v>1988</v>
      </c>
      <c r="B10" s="350" t="s">
        <v>31</v>
      </c>
      <c r="C10" s="350" t="s">
        <v>31</v>
      </c>
      <c r="D10" s="350" t="s">
        <v>31</v>
      </c>
      <c r="E10" s="350" t="s">
        <v>31</v>
      </c>
      <c r="F10" s="350" t="s">
        <v>31</v>
      </c>
      <c r="G10" s="350">
        <v>1.0009999999999999</v>
      </c>
      <c r="H10" s="350">
        <v>1.002</v>
      </c>
      <c r="I10" s="350">
        <v>1.0009999999999999</v>
      </c>
      <c r="J10" s="350">
        <v>1.0009999999999999</v>
      </c>
      <c r="K10" s="350">
        <v>1.0009999999999999</v>
      </c>
      <c r="L10" s="350">
        <v>1.0009999999999999</v>
      </c>
      <c r="M10" s="350">
        <v>1.0009999999999999</v>
      </c>
      <c r="N10" s="350">
        <v>1.0009999999999999</v>
      </c>
      <c r="O10" s="350">
        <v>1.0009999999999999</v>
      </c>
      <c r="P10" s="350">
        <v>1.0009999999999999</v>
      </c>
      <c r="Q10" s="350">
        <v>1.0009999999999999</v>
      </c>
      <c r="R10" s="350">
        <v>1.0009999999999999</v>
      </c>
      <c r="S10" s="350">
        <v>1.0009999999999999</v>
      </c>
      <c r="T10" s="350">
        <v>1</v>
      </c>
      <c r="U10" s="350" t="s">
        <v>31</v>
      </c>
      <c r="V10" s="350" t="s">
        <v>31</v>
      </c>
      <c r="W10" s="350" t="s">
        <v>31</v>
      </c>
      <c r="X10" s="54"/>
    </row>
    <row r="11" spans="1:24">
      <c r="A11" s="181">
        <f t="shared" si="6"/>
        <v>1989</v>
      </c>
      <c r="B11" s="350" t="s">
        <v>31</v>
      </c>
      <c r="C11" s="350" t="s">
        <v>31</v>
      </c>
      <c r="D11" s="350" t="s">
        <v>31</v>
      </c>
      <c r="E11" s="350" t="s">
        <v>31</v>
      </c>
      <c r="F11" s="350">
        <v>1.0009999999999999</v>
      </c>
      <c r="G11" s="350">
        <v>1.0009999999999999</v>
      </c>
      <c r="H11" s="350">
        <v>1.0009999999999999</v>
      </c>
      <c r="I11" s="350">
        <v>1.0009999999999999</v>
      </c>
      <c r="J11" s="350">
        <v>1.0009999999999999</v>
      </c>
      <c r="K11" s="350">
        <v>1.0009999999999999</v>
      </c>
      <c r="L11" s="350">
        <v>1.0009999999999999</v>
      </c>
      <c r="M11" s="350">
        <v>1.0009999999999999</v>
      </c>
      <c r="N11" s="350">
        <v>1.0009999999999999</v>
      </c>
      <c r="O11" s="350">
        <v>1.0009999999999999</v>
      </c>
      <c r="P11" s="350">
        <v>1</v>
      </c>
      <c r="Q11" s="350">
        <v>1</v>
      </c>
      <c r="R11" s="350">
        <v>1</v>
      </c>
      <c r="S11" s="350">
        <v>1</v>
      </c>
      <c r="T11" s="350" t="s">
        <v>31</v>
      </c>
      <c r="U11" s="350" t="s">
        <v>31</v>
      </c>
      <c r="V11" s="350" t="s">
        <v>31</v>
      </c>
      <c r="W11" s="350" t="s">
        <v>31</v>
      </c>
      <c r="X11" s="54"/>
    </row>
    <row r="12" spans="1:24">
      <c r="A12" s="181">
        <f t="shared" si="6"/>
        <v>1990</v>
      </c>
      <c r="B12" s="350" t="s">
        <v>31</v>
      </c>
      <c r="C12" s="350" t="s">
        <v>31</v>
      </c>
      <c r="D12" s="350" t="s">
        <v>31</v>
      </c>
      <c r="E12" s="350">
        <v>1.0009999999999999</v>
      </c>
      <c r="F12" s="350">
        <v>1.0009999999999999</v>
      </c>
      <c r="G12" s="350">
        <v>1.0009999999999999</v>
      </c>
      <c r="H12" s="350">
        <v>1.0009999999999999</v>
      </c>
      <c r="I12" s="350">
        <v>1.0009999999999999</v>
      </c>
      <c r="J12" s="350">
        <v>1.0009999999999999</v>
      </c>
      <c r="K12" s="350">
        <v>1</v>
      </c>
      <c r="L12" s="350">
        <v>1</v>
      </c>
      <c r="M12" s="350">
        <v>1.0009999999999999</v>
      </c>
      <c r="N12" s="350">
        <v>1.0009999999999999</v>
      </c>
      <c r="O12" s="350">
        <v>1.0009999999999999</v>
      </c>
      <c r="P12" s="350">
        <v>1.0009999999999999</v>
      </c>
      <c r="Q12" s="350">
        <v>1</v>
      </c>
      <c r="R12" s="350">
        <v>1</v>
      </c>
      <c r="S12" s="350" t="s">
        <v>31</v>
      </c>
      <c r="T12" s="350" t="s">
        <v>31</v>
      </c>
      <c r="U12" s="350" t="s">
        <v>31</v>
      </c>
      <c r="V12" s="350" t="s">
        <v>31</v>
      </c>
      <c r="W12" s="350" t="s">
        <v>31</v>
      </c>
      <c r="X12" s="54"/>
    </row>
    <row r="13" spans="1:24">
      <c r="A13" s="181">
        <f t="shared" si="6"/>
        <v>1991</v>
      </c>
      <c r="B13" s="350" t="s">
        <v>31</v>
      </c>
      <c r="C13" s="350" t="s">
        <v>31</v>
      </c>
      <c r="D13" s="350">
        <v>1.0009999999999999</v>
      </c>
      <c r="E13" s="350">
        <v>1.0009999999999999</v>
      </c>
      <c r="F13" s="350">
        <v>1.002</v>
      </c>
      <c r="G13" s="350">
        <v>1.0009999999999999</v>
      </c>
      <c r="H13" s="350">
        <v>1.0009999999999999</v>
      </c>
      <c r="I13" s="350">
        <v>1.0009999999999999</v>
      </c>
      <c r="J13" s="350">
        <v>1.0009999999999999</v>
      </c>
      <c r="K13" s="350">
        <v>1.0009999999999999</v>
      </c>
      <c r="L13" s="350">
        <v>1.0009999999999999</v>
      </c>
      <c r="M13" s="350">
        <v>1.0009999999999999</v>
      </c>
      <c r="N13" s="350">
        <v>1.0009999999999999</v>
      </c>
      <c r="O13" s="350">
        <v>1.0009999999999999</v>
      </c>
      <c r="P13" s="350">
        <v>1.0009999999999999</v>
      </c>
      <c r="Q13" s="350">
        <v>1</v>
      </c>
      <c r="R13" s="350" t="s">
        <v>31</v>
      </c>
      <c r="S13" s="350" t="s">
        <v>31</v>
      </c>
      <c r="T13" s="350" t="s">
        <v>31</v>
      </c>
      <c r="U13" s="350" t="s">
        <v>31</v>
      </c>
      <c r="V13" s="350" t="s">
        <v>31</v>
      </c>
      <c r="W13" s="350" t="s">
        <v>31</v>
      </c>
      <c r="X13" s="54"/>
    </row>
    <row r="14" spans="1:24">
      <c r="A14" s="181">
        <f t="shared" si="6"/>
        <v>1992</v>
      </c>
      <c r="B14" s="350" t="s">
        <v>31</v>
      </c>
      <c r="C14" s="350">
        <v>1.002</v>
      </c>
      <c r="D14" s="350">
        <v>1.002</v>
      </c>
      <c r="E14" s="350">
        <v>1.002</v>
      </c>
      <c r="F14" s="350">
        <v>1.002</v>
      </c>
      <c r="G14" s="350">
        <v>1.0009999999999999</v>
      </c>
      <c r="H14" s="350">
        <v>1.0009999999999999</v>
      </c>
      <c r="I14" s="350">
        <v>1.0009999999999999</v>
      </c>
      <c r="J14" s="350">
        <v>1.0009999999999999</v>
      </c>
      <c r="K14" s="350">
        <v>1.0009999999999999</v>
      </c>
      <c r="L14" s="350">
        <v>1.0009999999999999</v>
      </c>
      <c r="M14" s="350">
        <v>1.0009999999999999</v>
      </c>
      <c r="N14" s="350">
        <v>1.0009999999999999</v>
      </c>
      <c r="O14" s="350">
        <v>1.0009999999999999</v>
      </c>
      <c r="P14" s="350">
        <v>1.0009999999999999</v>
      </c>
      <c r="Q14" s="350" t="s">
        <v>31</v>
      </c>
      <c r="R14" s="350" t="s">
        <v>31</v>
      </c>
      <c r="S14" s="350" t="s">
        <v>31</v>
      </c>
      <c r="T14" s="350" t="s">
        <v>31</v>
      </c>
      <c r="U14" s="350" t="s">
        <v>31</v>
      </c>
      <c r="V14" s="350" t="s">
        <v>31</v>
      </c>
      <c r="W14" s="350" t="s">
        <v>31</v>
      </c>
      <c r="X14" s="54"/>
    </row>
    <row r="15" spans="1:24">
      <c r="A15" s="181">
        <f t="shared" si="6"/>
        <v>1993</v>
      </c>
      <c r="B15" s="350">
        <v>1.002</v>
      </c>
      <c r="C15" s="350">
        <v>1.0029999999999999</v>
      </c>
      <c r="D15" s="350">
        <v>1.0029999999999999</v>
      </c>
      <c r="E15" s="350">
        <v>1.002</v>
      </c>
      <c r="F15" s="350">
        <v>1.002</v>
      </c>
      <c r="G15" s="350">
        <v>1.0009999999999999</v>
      </c>
      <c r="H15" s="350">
        <v>1.0009999999999999</v>
      </c>
      <c r="I15" s="350">
        <v>1.0009999999999999</v>
      </c>
      <c r="J15" s="350">
        <v>1.0009999999999999</v>
      </c>
      <c r="K15" s="350">
        <v>1.0009999999999999</v>
      </c>
      <c r="L15" s="350">
        <v>1.0009999999999999</v>
      </c>
      <c r="M15" s="350">
        <v>1.0009999999999999</v>
      </c>
      <c r="N15" s="350">
        <v>1.0009999999999999</v>
      </c>
      <c r="O15" s="350">
        <v>1.0009999999999999</v>
      </c>
      <c r="P15" s="350" t="s">
        <v>31</v>
      </c>
      <c r="Q15" s="350" t="s">
        <v>31</v>
      </c>
      <c r="R15" s="350" t="s">
        <v>31</v>
      </c>
      <c r="S15" s="350" t="s">
        <v>31</v>
      </c>
      <c r="T15" s="350" t="s">
        <v>31</v>
      </c>
      <c r="U15" s="350" t="s">
        <v>31</v>
      </c>
      <c r="V15" s="350" t="s">
        <v>31</v>
      </c>
      <c r="W15" s="350" t="s">
        <v>31</v>
      </c>
      <c r="X15" s="54"/>
    </row>
    <row r="16" spans="1:24">
      <c r="A16" s="181">
        <f t="shared" si="6"/>
        <v>1994</v>
      </c>
      <c r="B16" s="350">
        <v>1.004</v>
      </c>
      <c r="C16" s="350">
        <v>1.0029999999999999</v>
      </c>
      <c r="D16" s="350">
        <v>1.0029999999999999</v>
      </c>
      <c r="E16" s="350">
        <v>1.0029999999999999</v>
      </c>
      <c r="F16" s="350">
        <v>1.002</v>
      </c>
      <c r="G16" s="350">
        <v>1.002</v>
      </c>
      <c r="H16" s="350">
        <v>1.002</v>
      </c>
      <c r="I16" s="350">
        <v>1.0009999999999999</v>
      </c>
      <c r="J16" s="350">
        <v>1.0009999999999999</v>
      </c>
      <c r="K16" s="350">
        <v>1.0009999999999999</v>
      </c>
      <c r="L16" s="350">
        <v>1.002</v>
      </c>
      <c r="M16" s="350">
        <v>1.0009999999999999</v>
      </c>
      <c r="N16" s="350">
        <v>1.0009999999999999</v>
      </c>
      <c r="O16" s="350" t="s">
        <v>31</v>
      </c>
      <c r="P16" s="350" t="s">
        <v>31</v>
      </c>
      <c r="Q16" s="350" t="s">
        <v>31</v>
      </c>
      <c r="R16" s="350" t="s">
        <v>31</v>
      </c>
      <c r="S16" s="350" t="s">
        <v>31</v>
      </c>
      <c r="T16" s="350" t="s">
        <v>31</v>
      </c>
      <c r="U16" s="350" t="s">
        <v>31</v>
      </c>
      <c r="V16" s="350" t="s">
        <v>31</v>
      </c>
      <c r="W16" s="350" t="s">
        <v>31</v>
      </c>
      <c r="X16" s="54"/>
    </row>
    <row r="17" spans="1:24">
      <c r="A17" s="181">
        <f t="shared" si="6"/>
        <v>1995</v>
      </c>
      <c r="B17" s="350">
        <v>1.0049999999999999</v>
      </c>
      <c r="C17" s="350">
        <v>1.0049999999999999</v>
      </c>
      <c r="D17" s="350">
        <v>1.0029999999999999</v>
      </c>
      <c r="E17" s="350">
        <v>1.0029999999999999</v>
      </c>
      <c r="F17" s="350">
        <v>1.002</v>
      </c>
      <c r="G17" s="350">
        <v>1.002</v>
      </c>
      <c r="H17" s="350">
        <v>1.002</v>
      </c>
      <c r="I17" s="350">
        <v>1.0029999999999999</v>
      </c>
      <c r="J17" s="350">
        <v>1.002</v>
      </c>
      <c r="K17" s="350">
        <v>1.002</v>
      </c>
      <c r="L17" s="350">
        <v>1.002</v>
      </c>
      <c r="M17" s="350">
        <v>1.0009999999999999</v>
      </c>
      <c r="N17" s="350" t="s">
        <v>31</v>
      </c>
      <c r="O17" s="350" t="s">
        <v>31</v>
      </c>
      <c r="P17" s="350" t="s">
        <v>31</v>
      </c>
      <c r="Q17" s="350" t="s">
        <v>31</v>
      </c>
      <c r="R17" s="350" t="s">
        <v>31</v>
      </c>
      <c r="S17" s="350" t="s">
        <v>31</v>
      </c>
      <c r="T17" s="350" t="s">
        <v>31</v>
      </c>
      <c r="U17" s="350" t="s">
        <v>31</v>
      </c>
      <c r="V17" s="350" t="s">
        <v>31</v>
      </c>
      <c r="W17" s="350" t="s">
        <v>31</v>
      </c>
      <c r="X17" s="54"/>
    </row>
    <row r="18" spans="1:24">
      <c r="A18" s="181">
        <f t="shared" si="6"/>
        <v>1996</v>
      </c>
      <c r="B18" s="350">
        <v>1.0049999999999999</v>
      </c>
      <c r="C18" s="350">
        <v>1.004</v>
      </c>
      <c r="D18" s="350">
        <v>1.0029999999999999</v>
      </c>
      <c r="E18" s="350">
        <v>1.0029999999999999</v>
      </c>
      <c r="F18" s="350">
        <v>1.002</v>
      </c>
      <c r="G18" s="350">
        <v>1.0029999999999999</v>
      </c>
      <c r="H18" s="350">
        <v>1.0029999999999999</v>
      </c>
      <c r="I18" s="350">
        <v>1.002</v>
      </c>
      <c r="J18" s="350">
        <v>1.002</v>
      </c>
      <c r="K18" s="350">
        <v>1.002</v>
      </c>
      <c r="L18" s="350">
        <v>1.0009999999999999</v>
      </c>
      <c r="M18" s="350" t="s">
        <v>31</v>
      </c>
      <c r="N18" s="350" t="s">
        <v>31</v>
      </c>
      <c r="O18" s="350" t="s">
        <v>31</v>
      </c>
      <c r="P18" s="350" t="s">
        <v>31</v>
      </c>
      <c r="Q18" s="350" t="s">
        <v>31</v>
      </c>
      <c r="R18" s="350" t="s">
        <v>31</v>
      </c>
      <c r="S18" s="350" t="s">
        <v>31</v>
      </c>
      <c r="T18" s="350" t="s">
        <v>31</v>
      </c>
      <c r="U18" s="350" t="s">
        <v>31</v>
      </c>
      <c r="V18" s="350" t="s">
        <v>31</v>
      </c>
      <c r="W18" s="350" t="s">
        <v>31</v>
      </c>
      <c r="X18" s="54"/>
    </row>
    <row r="19" spans="1:24">
      <c r="A19" s="181">
        <f t="shared" si="6"/>
        <v>1997</v>
      </c>
      <c r="B19" s="350">
        <v>1.004</v>
      </c>
      <c r="C19" s="350">
        <v>1.0029999999999999</v>
      </c>
      <c r="D19" s="350">
        <v>1.0029999999999999</v>
      </c>
      <c r="E19" s="350">
        <v>1.002</v>
      </c>
      <c r="F19" s="350">
        <v>1.0029999999999999</v>
      </c>
      <c r="G19" s="350">
        <v>1.0029999999999999</v>
      </c>
      <c r="H19" s="350">
        <v>1.0029999999999999</v>
      </c>
      <c r="I19" s="350">
        <v>1.002</v>
      </c>
      <c r="J19" s="350">
        <v>1.002</v>
      </c>
      <c r="K19" s="350">
        <v>1.002</v>
      </c>
      <c r="L19" s="350" t="s">
        <v>31</v>
      </c>
      <c r="M19" s="350" t="s">
        <v>31</v>
      </c>
      <c r="N19" s="350" t="s">
        <v>31</v>
      </c>
      <c r="O19" s="350" t="s">
        <v>31</v>
      </c>
      <c r="P19" s="350" t="s">
        <v>31</v>
      </c>
      <c r="Q19" s="350" t="s">
        <v>31</v>
      </c>
      <c r="R19" s="350" t="s">
        <v>31</v>
      </c>
      <c r="S19" s="350" t="s">
        <v>31</v>
      </c>
      <c r="T19" s="350" t="s">
        <v>31</v>
      </c>
      <c r="U19" s="350" t="s">
        <v>31</v>
      </c>
      <c r="V19" s="350" t="s">
        <v>31</v>
      </c>
      <c r="W19" s="350" t="s">
        <v>31</v>
      </c>
      <c r="X19" s="54"/>
    </row>
    <row r="20" spans="1:24">
      <c r="A20" s="181">
        <f t="shared" si="6"/>
        <v>1998</v>
      </c>
      <c r="B20" s="350">
        <v>1.006</v>
      </c>
      <c r="C20" s="350">
        <v>1.004</v>
      </c>
      <c r="D20" s="350">
        <v>1.0029999999999999</v>
      </c>
      <c r="E20" s="350">
        <v>1.0029999999999999</v>
      </c>
      <c r="F20" s="350">
        <v>1.0029999999999999</v>
      </c>
      <c r="G20" s="350">
        <v>1.0029999999999999</v>
      </c>
      <c r="H20" s="350">
        <v>1.002</v>
      </c>
      <c r="I20" s="350">
        <v>1.002</v>
      </c>
      <c r="J20" s="350">
        <v>1.0009999999999999</v>
      </c>
      <c r="K20" s="350" t="s">
        <v>31</v>
      </c>
      <c r="L20" s="350" t="s">
        <v>31</v>
      </c>
      <c r="M20" s="350" t="s">
        <v>31</v>
      </c>
      <c r="N20" s="350" t="s">
        <v>31</v>
      </c>
      <c r="O20" s="350" t="s">
        <v>31</v>
      </c>
      <c r="P20" s="350" t="s">
        <v>31</v>
      </c>
      <c r="Q20" s="350" t="s">
        <v>31</v>
      </c>
      <c r="R20" s="350" t="s">
        <v>31</v>
      </c>
      <c r="S20" s="350" t="s">
        <v>31</v>
      </c>
      <c r="T20" s="350" t="s">
        <v>31</v>
      </c>
      <c r="U20" s="350" t="s">
        <v>31</v>
      </c>
      <c r="V20" s="350" t="s">
        <v>31</v>
      </c>
      <c r="W20" s="350" t="s">
        <v>31</v>
      </c>
      <c r="X20" s="54"/>
    </row>
    <row r="21" spans="1:24">
      <c r="A21" s="181">
        <f t="shared" si="6"/>
        <v>1999</v>
      </c>
      <c r="B21" s="350">
        <v>1.004</v>
      </c>
      <c r="C21" s="350">
        <v>1.0029999999999999</v>
      </c>
      <c r="D21" s="350">
        <v>1.0029999999999999</v>
      </c>
      <c r="E21" s="350">
        <v>1.0029999999999999</v>
      </c>
      <c r="F21" s="350">
        <v>1.002</v>
      </c>
      <c r="G21" s="350">
        <v>1.002</v>
      </c>
      <c r="H21" s="350">
        <v>1.002</v>
      </c>
      <c r="I21" s="350">
        <v>1.0009999999999999</v>
      </c>
      <c r="J21" s="350" t="s">
        <v>31</v>
      </c>
      <c r="K21" s="350" t="s">
        <v>31</v>
      </c>
      <c r="L21" s="350" t="s">
        <v>31</v>
      </c>
      <c r="M21" s="350" t="s">
        <v>31</v>
      </c>
      <c r="N21" s="350" t="s">
        <v>31</v>
      </c>
      <c r="O21" s="350" t="s">
        <v>31</v>
      </c>
      <c r="P21" s="350" t="s">
        <v>31</v>
      </c>
      <c r="Q21" s="350" t="s">
        <v>31</v>
      </c>
      <c r="R21" s="350" t="s">
        <v>31</v>
      </c>
      <c r="S21" s="350" t="s">
        <v>31</v>
      </c>
      <c r="T21" s="350" t="s">
        <v>31</v>
      </c>
      <c r="U21" s="350" t="s">
        <v>31</v>
      </c>
      <c r="V21" s="350" t="s">
        <v>31</v>
      </c>
      <c r="W21" s="350" t="s">
        <v>31</v>
      </c>
      <c r="X21" s="54"/>
    </row>
    <row r="22" spans="1:24">
      <c r="A22" s="181">
        <f t="shared" si="6"/>
        <v>2000</v>
      </c>
      <c r="B22" s="350">
        <v>1.004</v>
      </c>
      <c r="C22" s="350">
        <v>1.004</v>
      </c>
      <c r="D22" s="350">
        <v>1.0029999999999999</v>
      </c>
      <c r="E22" s="350">
        <v>1.002</v>
      </c>
      <c r="F22" s="350">
        <v>1.002</v>
      </c>
      <c r="G22" s="350">
        <v>1.002</v>
      </c>
      <c r="H22" s="350">
        <v>1.002</v>
      </c>
      <c r="I22" s="350" t="s">
        <v>31</v>
      </c>
      <c r="J22" s="350" t="s">
        <v>31</v>
      </c>
      <c r="K22" s="350" t="s">
        <v>31</v>
      </c>
      <c r="L22" s="350" t="s">
        <v>31</v>
      </c>
      <c r="M22" s="350" t="s">
        <v>31</v>
      </c>
      <c r="N22" s="350" t="s">
        <v>31</v>
      </c>
      <c r="O22" s="350" t="s">
        <v>31</v>
      </c>
      <c r="P22" s="350" t="s">
        <v>31</v>
      </c>
      <c r="Q22" s="350" t="s">
        <v>31</v>
      </c>
      <c r="R22" s="350" t="s">
        <v>31</v>
      </c>
      <c r="S22" s="350" t="s">
        <v>31</v>
      </c>
      <c r="T22" s="350" t="s">
        <v>31</v>
      </c>
      <c r="U22" s="350" t="s">
        <v>31</v>
      </c>
      <c r="V22" s="350" t="s">
        <v>31</v>
      </c>
      <c r="W22" s="350" t="s">
        <v>31</v>
      </c>
      <c r="X22" s="54"/>
    </row>
    <row r="23" spans="1:24">
      <c r="A23" s="181">
        <f t="shared" si="6"/>
        <v>2001</v>
      </c>
      <c r="B23" s="350">
        <v>1.0049999999999999</v>
      </c>
      <c r="C23" s="350">
        <v>1.0049999999999999</v>
      </c>
      <c r="D23" s="350">
        <v>1.004</v>
      </c>
      <c r="E23" s="350">
        <v>1.0029999999999999</v>
      </c>
      <c r="F23" s="350">
        <v>1.002</v>
      </c>
      <c r="G23" s="350">
        <v>1.002</v>
      </c>
      <c r="H23" s="350" t="s">
        <v>31</v>
      </c>
      <c r="I23" s="350" t="s">
        <v>31</v>
      </c>
      <c r="J23" s="350" t="s">
        <v>31</v>
      </c>
      <c r="K23" s="350" t="s">
        <v>31</v>
      </c>
      <c r="L23" s="350" t="s">
        <v>31</v>
      </c>
      <c r="M23" s="350" t="s">
        <v>31</v>
      </c>
      <c r="N23" s="350" t="s">
        <v>31</v>
      </c>
      <c r="O23" s="350" t="s">
        <v>31</v>
      </c>
      <c r="P23" s="350" t="s">
        <v>31</v>
      </c>
      <c r="Q23" s="350" t="s">
        <v>31</v>
      </c>
      <c r="R23" s="350" t="s">
        <v>31</v>
      </c>
      <c r="S23" s="350" t="s">
        <v>31</v>
      </c>
      <c r="T23" s="350" t="s">
        <v>31</v>
      </c>
      <c r="U23" s="350" t="s">
        <v>31</v>
      </c>
      <c r="V23" s="350" t="s">
        <v>31</v>
      </c>
      <c r="W23" s="350" t="s">
        <v>31</v>
      </c>
      <c r="X23" s="54"/>
    </row>
    <row r="24" spans="1:24">
      <c r="A24" s="181">
        <f t="shared" si="6"/>
        <v>2002</v>
      </c>
      <c r="B24" s="350">
        <v>1.004</v>
      </c>
      <c r="C24" s="350">
        <v>1.004</v>
      </c>
      <c r="D24" s="350">
        <v>1.0029999999999999</v>
      </c>
      <c r="E24" s="350">
        <v>1.002</v>
      </c>
      <c r="F24" s="350">
        <v>1.002</v>
      </c>
      <c r="G24" s="350" t="s">
        <v>31</v>
      </c>
      <c r="H24" s="350" t="s">
        <v>31</v>
      </c>
      <c r="I24" s="350" t="s">
        <v>31</v>
      </c>
      <c r="J24" s="350" t="s">
        <v>31</v>
      </c>
      <c r="K24" s="350" t="s">
        <v>31</v>
      </c>
      <c r="L24" s="350" t="s">
        <v>31</v>
      </c>
      <c r="M24" s="350" t="s">
        <v>31</v>
      </c>
      <c r="N24" s="350" t="s">
        <v>31</v>
      </c>
      <c r="O24" s="350" t="s">
        <v>31</v>
      </c>
      <c r="P24" s="350" t="s">
        <v>31</v>
      </c>
      <c r="Q24" s="350" t="s">
        <v>31</v>
      </c>
      <c r="R24" s="350" t="s">
        <v>31</v>
      </c>
      <c r="S24" s="350" t="s">
        <v>31</v>
      </c>
      <c r="T24" s="350" t="s">
        <v>31</v>
      </c>
      <c r="U24" s="350" t="s">
        <v>31</v>
      </c>
      <c r="V24" s="350" t="s">
        <v>31</v>
      </c>
      <c r="W24" s="350" t="s">
        <v>31</v>
      </c>
      <c r="X24" s="54"/>
    </row>
    <row r="25" spans="1:24">
      <c r="A25" s="181">
        <f t="shared" si="6"/>
        <v>2003</v>
      </c>
      <c r="B25" s="350">
        <v>1.0069999999999999</v>
      </c>
      <c r="C25" s="350">
        <v>1.0049999999999999</v>
      </c>
      <c r="D25" s="350">
        <v>1.0029999999999999</v>
      </c>
      <c r="E25" s="350">
        <v>1.0029999999999999</v>
      </c>
      <c r="F25" s="350" t="s">
        <v>31</v>
      </c>
      <c r="G25" s="350" t="s">
        <v>31</v>
      </c>
      <c r="H25" s="350" t="s">
        <v>31</v>
      </c>
      <c r="I25" s="350" t="s">
        <v>31</v>
      </c>
      <c r="J25" s="350" t="s">
        <v>31</v>
      </c>
      <c r="K25" s="350" t="s">
        <v>31</v>
      </c>
      <c r="L25" s="350" t="s">
        <v>31</v>
      </c>
      <c r="M25" s="350" t="s">
        <v>31</v>
      </c>
      <c r="N25" s="350" t="s">
        <v>31</v>
      </c>
      <c r="O25" s="350" t="s">
        <v>31</v>
      </c>
      <c r="P25" s="350" t="s">
        <v>31</v>
      </c>
      <c r="Q25" s="350" t="s">
        <v>31</v>
      </c>
      <c r="R25" s="350" t="s">
        <v>31</v>
      </c>
      <c r="S25" s="350" t="s">
        <v>31</v>
      </c>
      <c r="T25" s="350" t="s">
        <v>31</v>
      </c>
      <c r="U25" s="350" t="s">
        <v>31</v>
      </c>
      <c r="V25" s="350" t="s">
        <v>31</v>
      </c>
      <c r="W25" s="350" t="s">
        <v>31</v>
      </c>
      <c r="X25" s="54"/>
    </row>
    <row r="26" spans="1:24">
      <c r="A26" s="181">
        <f t="shared" si="6"/>
        <v>2004</v>
      </c>
      <c r="B26" s="350">
        <v>1.004</v>
      </c>
      <c r="C26" s="350">
        <v>1.0029999999999999</v>
      </c>
      <c r="D26" s="350">
        <v>1.0029999999999999</v>
      </c>
      <c r="E26" s="350" t="s">
        <v>31</v>
      </c>
      <c r="F26" s="350" t="s">
        <v>31</v>
      </c>
      <c r="G26" s="350" t="s">
        <v>31</v>
      </c>
      <c r="H26" s="350" t="s">
        <v>31</v>
      </c>
      <c r="I26" s="350" t="s">
        <v>31</v>
      </c>
      <c r="J26" s="350" t="s">
        <v>31</v>
      </c>
      <c r="K26" s="350" t="s">
        <v>31</v>
      </c>
      <c r="L26" s="350" t="s">
        <v>31</v>
      </c>
      <c r="M26" s="350" t="s">
        <v>31</v>
      </c>
      <c r="N26" s="350" t="s">
        <v>31</v>
      </c>
      <c r="O26" s="350" t="s">
        <v>31</v>
      </c>
      <c r="P26" s="350" t="s">
        <v>31</v>
      </c>
      <c r="Q26" s="350" t="s">
        <v>31</v>
      </c>
      <c r="R26" s="350" t="s">
        <v>31</v>
      </c>
      <c r="S26" s="350" t="s">
        <v>31</v>
      </c>
      <c r="T26" s="350" t="s">
        <v>31</v>
      </c>
      <c r="U26" s="350" t="s">
        <v>31</v>
      </c>
      <c r="V26" s="350" t="s">
        <v>31</v>
      </c>
      <c r="W26" s="350" t="s">
        <v>31</v>
      </c>
      <c r="X26" s="54"/>
    </row>
    <row r="27" spans="1:24">
      <c r="A27" s="181">
        <f t="shared" si="6"/>
        <v>2005</v>
      </c>
      <c r="B27" s="350">
        <v>1.0049999999999999</v>
      </c>
      <c r="C27" s="350">
        <v>1.004</v>
      </c>
      <c r="D27" s="350" t="s">
        <v>31</v>
      </c>
      <c r="E27" s="350" t="s">
        <v>31</v>
      </c>
      <c r="F27" s="350" t="s">
        <v>31</v>
      </c>
      <c r="G27" s="350" t="s">
        <v>31</v>
      </c>
      <c r="H27" s="350" t="s">
        <v>31</v>
      </c>
      <c r="I27" s="350" t="s">
        <v>31</v>
      </c>
      <c r="J27" s="350" t="s">
        <v>31</v>
      </c>
      <c r="K27" s="350" t="s">
        <v>31</v>
      </c>
      <c r="L27" s="350" t="s">
        <v>31</v>
      </c>
      <c r="M27" s="350" t="s">
        <v>31</v>
      </c>
      <c r="N27" s="350" t="s">
        <v>31</v>
      </c>
      <c r="O27" s="350" t="s">
        <v>31</v>
      </c>
      <c r="P27" s="350" t="s">
        <v>31</v>
      </c>
      <c r="Q27" s="350" t="s">
        <v>31</v>
      </c>
      <c r="R27" s="350" t="s">
        <v>31</v>
      </c>
      <c r="S27" s="350" t="s">
        <v>31</v>
      </c>
      <c r="T27" s="350" t="s">
        <v>31</v>
      </c>
      <c r="U27" s="350" t="s">
        <v>31</v>
      </c>
      <c r="V27" s="350" t="s">
        <v>31</v>
      </c>
      <c r="W27" s="350" t="s">
        <v>31</v>
      </c>
      <c r="X27" s="54"/>
    </row>
    <row r="28" spans="1:24">
      <c r="A28" s="181">
        <f>'Exhibit 2.2.2'!A28</f>
        <v>2006</v>
      </c>
      <c r="B28" s="350">
        <v>1.0049999999999999</v>
      </c>
      <c r="C28" s="350" t="s">
        <v>31</v>
      </c>
      <c r="D28" s="350" t="s">
        <v>31</v>
      </c>
      <c r="E28" s="350" t="s">
        <v>31</v>
      </c>
      <c r="F28" s="350" t="s">
        <v>31</v>
      </c>
      <c r="G28" s="350" t="s">
        <v>31</v>
      </c>
      <c r="H28" s="350" t="s">
        <v>31</v>
      </c>
      <c r="I28" s="350" t="s">
        <v>31</v>
      </c>
      <c r="J28" s="350" t="s">
        <v>31</v>
      </c>
      <c r="K28" s="350" t="s">
        <v>31</v>
      </c>
      <c r="L28" s="350" t="s">
        <v>31</v>
      </c>
      <c r="M28" s="350" t="s">
        <v>31</v>
      </c>
      <c r="N28" s="350" t="s">
        <v>31</v>
      </c>
      <c r="O28" s="350" t="s">
        <v>31</v>
      </c>
      <c r="P28" s="350" t="s">
        <v>31</v>
      </c>
      <c r="Q28" s="350" t="s">
        <v>31</v>
      </c>
      <c r="R28" s="350" t="s">
        <v>31</v>
      </c>
      <c r="S28" s="350" t="s">
        <v>31</v>
      </c>
      <c r="T28" s="350" t="s">
        <v>31</v>
      </c>
      <c r="U28" s="350" t="s">
        <v>31</v>
      </c>
      <c r="V28" s="350" t="s">
        <v>31</v>
      </c>
      <c r="W28" s="350" t="s">
        <v>31</v>
      </c>
      <c r="X28" s="54"/>
    </row>
    <row r="29" spans="1:24">
      <c r="A29" s="283"/>
      <c r="B29" s="183"/>
      <c r="C29" s="183"/>
      <c r="D29" s="183"/>
      <c r="E29" s="183"/>
      <c r="F29" s="183"/>
      <c r="G29" s="183"/>
      <c r="H29" s="183"/>
      <c r="I29" s="183"/>
      <c r="J29" s="183"/>
      <c r="K29" s="183"/>
      <c r="L29" s="183"/>
      <c r="M29" s="183"/>
      <c r="N29" s="183"/>
      <c r="O29" s="183"/>
      <c r="P29" s="183"/>
      <c r="Q29" s="283"/>
      <c r="R29" s="283"/>
      <c r="S29" s="283"/>
      <c r="T29" s="283"/>
      <c r="U29" s="325"/>
      <c r="V29" s="334"/>
      <c r="W29" s="283"/>
      <c r="X29" s="54"/>
    </row>
    <row r="30" spans="1:24">
      <c r="A30" s="11"/>
      <c r="B30" s="183"/>
      <c r="C30" s="183"/>
      <c r="D30" s="183"/>
      <c r="E30" s="183"/>
      <c r="F30" s="183"/>
      <c r="G30" s="183"/>
      <c r="H30" s="183"/>
      <c r="I30" s="183"/>
      <c r="J30" s="183"/>
      <c r="K30" s="183"/>
      <c r="L30" s="183"/>
      <c r="M30" s="183"/>
      <c r="N30" s="283"/>
      <c r="O30" s="283"/>
      <c r="P30" s="4"/>
      <c r="Q30" s="184"/>
      <c r="R30" s="184"/>
      <c r="S30" s="184"/>
      <c r="T30" s="184"/>
      <c r="U30" s="184"/>
      <c r="V30" s="184"/>
      <c r="W30" s="184"/>
      <c r="X30" s="54"/>
    </row>
    <row r="31" spans="1:24">
      <c r="A31" s="181" t="s">
        <v>20</v>
      </c>
      <c r="B31" s="351">
        <f ca="1">AVERAGE(OFFSET(B$27:B$29,-COUNTA($B$4:B$4),0))</f>
        <v>1.0046666666666666</v>
      </c>
      <c r="C31" s="351">
        <f ca="1">AVERAGE(OFFSET(C$27:C$29,-COUNTA($B$4:C$4),0))</f>
        <v>1.004</v>
      </c>
      <c r="D31" s="351">
        <f ca="1">AVERAGE(OFFSET(D$27:D$29,-COUNTA($B$4:D$4),0))</f>
        <v>1.0029999999999999</v>
      </c>
      <c r="E31" s="351">
        <f ca="1">AVERAGE(OFFSET(E$27:E$29,-COUNTA($B$4:E$4),0))</f>
        <v>1.0026666666666666</v>
      </c>
      <c r="F31" s="351">
        <f ca="1">AVERAGE(OFFSET(F$27:F$29,-COUNTA($B$4:F$4),0))</f>
        <v>1.002</v>
      </c>
      <c r="G31" s="351">
        <f ca="1">AVERAGE(OFFSET(G$27:G$29,-COUNTA($B$4:G$4),0))</f>
        <v>1.002</v>
      </c>
      <c r="H31" s="351">
        <f ca="1">AVERAGE(OFFSET(H$27:H$29,-COUNTA($B$4:H$4),0))</f>
        <v>1.002</v>
      </c>
      <c r="I31" s="351">
        <f ca="1">AVERAGE(OFFSET(I$27:I$29,-COUNTA($B$4:I$4),0))</f>
        <v>1.0016666666666667</v>
      </c>
      <c r="J31" s="351">
        <f ca="1">AVERAGE(OFFSET(J$27:J$29,-COUNTA($B$4:J$4),0))</f>
        <v>1.0016666666666667</v>
      </c>
      <c r="K31" s="351">
        <f ca="1">AVERAGE(OFFSET(K$27:K$29,-COUNTA($B$4:K$4),0))</f>
        <v>1.002</v>
      </c>
      <c r="L31" s="351">
        <f ca="1">AVERAGE(OFFSET(L$27:L$29,-COUNTA($B$4:L$4),0))</f>
        <v>1.0016666666666667</v>
      </c>
      <c r="M31" s="351">
        <f ca="1">AVERAGE(OFFSET(M$27:M$29,-COUNTA($B$4:M$4),0))</f>
        <v>1.0009999999999999</v>
      </c>
      <c r="N31" s="351">
        <f ca="1">AVERAGE(OFFSET(N$27:N$29,-COUNTA($B$4:N$4),0))</f>
        <v>1.0009999999999999</v>
      </c>
      <c r="O31" s="351">
        <f ca="1">AVERAGE(OFFSET(O$27:O$29,-COUNTA($B$4:O$4),0))</f>
        <v>1.0009999999999999</v>
      </c>
      <c r="P31" s="351">
        <f ca="1">AVERAGE(OFFSET(P$27:P$29,-COUNTA($B$4:P$4),0))</f>
        <v>1.0009999999999999</v>
      </c>
      <c r="Q31" s="351">
        <f ca="1">AVERAGE(OFFSET(Q$27:Q$29,-COUNTA($B$4:Q$4),0))</f>
        <v>1</v>
      </c>
      <c r="R31" s="351">
        <f ca="1">AVERAGE(OFFSET(R$27:R$29,-COUNTA($B$4:R$4),0))</f>
        <v>1.0003333333333333</v>
      </c>
      <c r="S31" s="351">
        <f ca="1">AVERAGE(OFFSET(S$27:S$29,-COUNTA($B$4:S$4),0))</f>
        <v>1.0003333333333333</v>
      </c>
      <c r="T31" s="351">
        <f ca="1">AVERAGE(OFFSET(T$27:T$29,-COUNTA($B$4:T$4),0))</f>
        <v>1</v>
      </c>
      <c r="U31" s="351">
        <f ca="1">AVERAGE(OFFSET(U$27:U$29,-COUNTA($B$4:U$4),0))</f>
        <v>1.0006666666666666</v>
      </c>
      <c r="V31" s="351">
        <f ca="1">AVERAGE(OFFSET(V$27:V$29,-COUNTA($B$4:V$4),0))</f>
        <v>1.0003333333333333</v>
      </c>
      <c r="W31" s="351">
        <f ca="1">AVERAGE(OFFSET(W$27:W$29,-COUNTA($B$4:W$4),0))</f>
        <v>1.0003333333333333</v>
      </c>
      <c r="X31" s="134"/>
    </row>
    <row r="32" spans="1:24">
      <c r="A32" s="181" t="s">
        <v>21</v>
      </c>
      <c r="B32" s="351">
        <f ca="1">C32*B31</f>
        <v>1.0431569105021177</v>
      </c>
      <c r="C32" s="351">
        <f t="shared" ref="C32:W32" ca="1" si="7">D32*C31</f>
        <v>1.03831145703595</v>
      </c>
      <c r="D32" s="351">
        <f t="shared" ca="1" si="7"/>
        <v>1.0341747580039342</v>
      </c>
      <c r="E32" s="351">
        <f t="shared" ca="1" si="7"/>
        <v>1.0310815134635436</v>
      </c>
      <c r="F32" s="351">
        <f t="shared" ca="1" si="7"/>
        <v>1.0283392753958214</v>
      </c>
      <c r="G32" s="351">
        <f t="shared" ca="1" si="7"/>
        <v>1.0262867019918378</v>
      </c>
      <c r="H32" s="351">
        <f t="shared" ca="1" si="7"/>
        <v>1.0242382255407563</v>
      </c>
      <c r="I32" s="351">
        <f t="shared" ca="1" si="7"/>
        <v>1.0221938378650262</v>
      </c>
      <c r="J32" s="351">
        <f t="shared" ca="1" si="7"/>
        <v>1.0204930161714072</v>
      </c>
      <c r="K32" s="351">
        <f t="shared" ca="1" si="7"/>
        <v>1.0187950244639672</v>
      </c>
      <c r="L32" s="351">
        <f t="shared" ca="1" si="7"/>
        <v>1.0167615014610452</v>
      </c>
      <c r="M32" s="351">
        <f t="shared" ca="1" si="7"/>
        <v>1.0150697185967172</v>
      </c>
      <c r="N32" s="351">
        <f t="shared" ca="1" si="7"/>
        <v>1.0140556629337836</v>
      </c>
      <c r="O32" s="351">
        <f t="shared" ca="1" si="7"/>
        <v>1.0130426203134701</v>
      </c>
      <c r="P32" s="351">
        <f t="shared" ca="1" si="7"/>
        <v>1.0120305897237465</v>
      </c>
      <c r="Q32" s="351">
        <f t="shared" ca="1" si="7"/>
        <v>1.0110195701535931</v>
      </c>
      <c r="R32" s="351">
        <f t="shared" ca="1" si="7"/>
        <v>1.0110195701535931</v>
      </c>
      <c r="S32" s="351">
        <f t="shared" ca="1" si="7"/>
        <v>1.0106826759282836</v>
      </c>
      <c r="T32" s="351">
        <f t="shared" ca="1" si="7"/>
        <v>1.0103458939636292</v>
      </c>
      <c r="U32" s="351">
        <f t="shared" ca="1" si="7"/>
        <v>1.0103458939636292</v>
      </c>
      <c r="V32" s="351">
        <f t="shared" ca="1" si="7"/>
        <v>1.0096727787777775</v>
      </c>
      <c r="W32" s="351">
        <f t="shared" ca="1" si="7"/>
        <v>1.0093363333333332</v>
      </c>
      <c r="X32" s="350">
        <v>1.0089999999999999</v>
      </c>
    </row>
    <row r="33" spans="1:24">
      <c r="A33" s="283"/>
      <c r="B33" s="64"/>
      <c r="C33" s="64"/>
      <c r="D33" s="64"/>
      <c r="E33" s="64"/>
      <c r="F33" s="64"/>
      <c r="G33" s="64"/>
      <c r="H33" s="188"/>
      <c r="I33" s="188"/>
      <c r="J33" s="188"/>
      <c r="K33" s="188"/>
      <c r="L33" s="188"/>
      <c r="M33" s="188"/>
      <c r="N33" s="188"/>
      <c r="O33" s="188"/>
      <c r="P33" s="188"/>
      <c r="Q33" s="183"/>
      <c r="R33" s="183"/>
      <c r="S33" s="183"/>
      <c r="T33" s="183"/>
      <c r="U33" s="183"/>
      <c r="V33" s="183"/>
      <c r="W33" s="183"/>
      <c r="X33" s="54"/>
    </row>
    <row r="34" spans="1:24" ht="12.75" customHeight="1">
      <c r="A34" s="13" t="s">
        <v>357</v>
      </c>
      <c r="B34" s="194" t="s">
        <v>414</v>
      </c>
      <c r="C34" s="282"/>
      <c r="D34" s="282"/>
      <c r="E34" s="282"/>
      <c r="F34" s="282"/>
      <c r="G34" s="282"/>
      <c r="H34" s="282"/>
      <c r="I34" s="282"/>
      <c r="J34" s="282"/>
      <c r="K34" s="282"/>
      <c r="L34" s="282"/>
      <c r="M34" s="282"/>
      <c r="N34" s="282"/>
      <c r="O34" s="282"/>
      <c r="P34" s="282"/>
      <c r="Q34" s="282"/>
      <c r="R34" s="282"/>
      <c r="S34" s="282"/>
      <c r="T34" s="282"/>
      <c r="U34" s="324"/>
      <c r="V34" s="333"/>
      <c r="W34" s="282"/>
      <c r="X34" s="54"/>
    </row>
    <row r="35" spans="1:24" ht="12.75" customHeight="1">
      <c r="A35" s="13"/>
      <c r="B35" s="194"/>
      <c r="C35" s="278"/>
      <c r="D35" s="278"/>
      <c r="E35" s="278"/>
      <c r="F35" s="278"/>
      <c r="G35" s="278"/>
      <c r="H35" s="278"/>
      <c r="I35" s="278"/>
      <c r="J35" s="278"/>
      <c r="K35" s="278"/>
      <c r="L35" s="278"/>
      <c r="M35" s="278"/>
      <c r="N35" s="278"/>
      <c r="O35" s="278"/>
      <c r="P35" s="278"/>
      <c r="Q35" s="278"/>
      <c r="R35" s="278"/>
      <c r="S35" s="278"/>
      <c r="T35" s="278"/>
      <c r="U35" s="321"/>
      <c r="V35" s="331"/>
      <c r="W35" s="278"/>
      <c r="X35" s="54"/>
    </row>
    <row r="36" spans="1:24">
      <c r="A36" s="54"/>
      <c r="B36" s="194"/>
      <c r="C36" s="54"/>
      <c r="D36" s="54"/>
      <c r="E36" s="54"/>
      <c r="F36" s="54"/>
      <c r="G36" s="54"/>
      <c r="H36" s="54"/>
      <c r="I36" s="54"/>
      <c r="J36" s="54"/>
      <c r="K36" s="54"/>
      <c r="L36" s="54"/>
      <c r="M36" s="54"/>
      <c r="N36" s="54"/>
      <c r="O36" s="54"/>
      <c r="P36" s="54"/>
      <c r="Q36" s="54"/>
      <c r="R36" s="54"/>
      <c r="S36" s="54"/>
      <c r="T36" s="54"/>
      <c r="U36" s="54"/>
      <c r="V36" s="54"/>
      <c r="W36" s="54"/>
      <c r="X36" s="54"/>
    </row>
  </sheetData>
  <pageMargins left="0.7" right="0.7" top="0.75" bottom="0.75" header="0.3" footer="0.3"/>
  <pageSetup scale="61" orientation="landscape" blackAndWhite="1" horizontalDpi="1200" verticalDpi="1200"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61"/>
  <sheetViews>
    <sheetView zoomScaleNormal="100" zoomScaleSheetLayoutView="100" workbookViewId="0"/>
  </sheetViews>
  <sheetFormatPr defaultColWidth="9.140625" defaultRowHeight="12.75"/>
  <cols>
    <col min="1" max="1" width="20.5703125" style="53" customWidth="1"/>
    <col min="2" max="16" width="8.85546875" style="53" customWidth="1"/>
    <col min="17" max="17" width="10.85546875" style="53" customWidth="1"/>
    <col min="18" max="16384" width="9.140625" style="53"/>
  </cols>
  <sheetData>
    <row r="1" spans="1:17" ht="13.35" customHeight="1">
      <c r="A1" s="115" t="s">
        <v>32</v>
      </c>
      <c r="B1" s="115"/>
      <c r="C1" s="115"/>
      <c r="D1" s="115"/>
      <c r="E1" s="115"/>
      <c r="F1" s="115"/>
      <c r="G1" s="115"/>
      <c r="H1" s="115"/>
      <c r="I1" s="115"/>
      <c r="J1" s="115"/>
      <c r="K1" s="115"/>
      <c r="L1" s="115"/>
      <c r="M1" s="115"/>
      <c r="N1" s="115"/>
      <c r="O1" s="115"/>
      <c r="P1" s="115"/>
      <c r="Q1" s="115"/>
    </row>
    <row r="2" spans="1:17" ht="13.35" customHeight="1"/>
    <row r="3" spans="1:17" ht="13.35" customHeight="1">
      <c r="A3" s="1" t="s">
        <v>50</v>
      </c>
      <c r="B3" s="117" t="s">
        <v>18</v>
      </c>
      <c r="C3" s="117"/>
      <c r="D3" s="117"/>
      <c r="E3" s="117"/>
      <c r="F3" s="117"/>
      <c r="G3" s="117"/>
      <c r="H3" s="117"/>
      <c r="I3" s="117"/>
      <c r="J3" s="117"/>
      <c r="K3" s="117"/>
      <c r="L3" s="117"/>
      <c r="M3" s="117"/>
      <c r="N3" s="117"/>
      <c r="O3" s="117"/>
      <c r="P3" s="117"/>
      <c r="Q3" s="117"/>
    </row>
    <row r="4" spans="1:17" ht="13.35" customHeight="1">
      <c r="A4" s="12" t="s">
        <v>19</v>
      </c>
      <c r="B4" s="6" t="s">
        <v>422</v>
      </c>
      <c r="C4" s="6" t="s">
        <v>423</v>
      </c>
      <c r="D4" s="6" t="s">
        <v>424</v>
      </c>
      <c r="E4" s="6" t="s">
        <v>425</v>
      </c>
      <c r="F4" s="6" t="s">
        <v>426</v>
      </c>
      <c r="G4" s="6" t="s">
        <v>427</v>
      </c>
      <c r="H4" s="6" t="s">
        <v>428</v>
      </c>
      <c r="I4" s="6" t="s">
        <v>429</v>
      </c>
      <c r="J4" s="6" t="s">
        <v>430</v>
      </c>
      <c r="K4" s="6" t="s">
        <v>431</v>
      </c>
      <c r="L4" s="6" t="s">
        <v>432</v>
      </c>
      <c r="M4" s="6" t="s">
        <v>433</v>
      </c>
      <c r="N4" s="6" t="s">
        <v>434</v>
      </c>
      <c r="O4" s="6" t="s">
        <v>435</v>
      </c>
      <c r="P4" s="6" t="s">
        <v>436</v>
      </c>
      <c r="Q4" s="6" t="s">
        <v>437</v>
      </c>
    </row>
    <row r="5" spans="1:17" ht="12" customHeight="1">
      <c r="A5" s="1">
        <f t="shared" ref="A5:A30" si="0">+A6-1</f>
        <v>1996</v>
      </c>
      <c r="B5" s="350" t="s">
        <v>31</v>
      </c>
      <c r="C5" s="350" t="s">
        <v>31</v>
      </c>
      <c r="D5" s="350" t="s">
        <v>31</v>
      </c>
      <c r="E5" s="350" t="s">
        <v>31</v>
      </c>
      <c r="F5" s="350" t="s">
        <v>31</v>
      </c>
      <c r="G5" s="350" t="s">
        <v>31</v>
      </c>
      <c r="H5" s="350" t="s">
        <v>31</v>
      </c>
      <c r="I5" s="350" t="s">
        <v>31</v>
      </c>
      <c r="J5" s="350" t="s">
        <v>31</v>
      </c>
      <c r="K5" s="350" t="s">
        <v>31</v>
      </c>
      <c r="L5" s="350" t="s">
        <v>31</v>
      </c>
      <c r="M5" s="350" t="s">
        <v>31</v>
      </c>
      <c r="N5" s="350" t="s">
        <v>31</v>
      </c>
      <c r="O5" s="350">
        <v>1.018</v>
      </c>
      <c r="P5" s="350">
        <v>1.016</v>
      </c>
      <c r="Q5" s="350">
        <v>1.0129999999999999</v>
      </c>
    </row>
    <row r="6" spans="1:17" ht="12" customHeight="1">
      <c r="A6" s="1">
        <f t="shared" si="0"/>
        <v>1997</v>
      </c>
      <c r="B6" s="350" t="s">
        <v>31</v>
      </c>
      <c r="C6" s="350" t="s">
        <v>31</v>
      </c>
      <c r="D6" s="350" t="s">
        <v>31</v>
      </c>
      <c r="E6" s="350" t="s">
        <v>31</v>
      </c>
      <c r="F6" s="350" t="s">
        <v>31</v>
      </c>
      <c r="G6" s="350" t="s">
        <v>31</v>
      </c>
      <c r="H6" s="350" t="s">
        <v>31</v>
      </c>
      <c r="I6" s="350" t="s">
        <v>31</v>
      </c>
      <c r="J6" s="350" t="s">
        <v>31</v>
      </c>
      <c r="K6" s="350" t="s">
        <v>31</v>
      </c>
      <c r="L6" s="350" t="s">
        <v>31</v>
      </c>
      <c r="M6" s="350" t="s">
        <v>31</v>
      </c>
      <c r="N6" s="350">
        <v>1.0189999999999999</v>
      </c>
      <c r="O6" s="350">
        <v>1.016</v>
      </c>
      <c r="P6" s="350">
        <v>1.014</v>
      </c>
      <c r="Q6" s="350">
        <v>1.014</v>
      </c>
    </row>
    <row r="7" spans="1:17" ht="12" customHeight="1">
      <c r="A7" s="1">
        <f t="shared" si="0"/>
        <v>1998</v>
      </c>
      <c r="B7" s="350" t="s">
        <v>31</v>
      </c>
      <c r="C7" s="350" t="s">
        <v>31</v>
      </c>
      <c r="D7" s="350" t="s">
        <v>31</v>
      </c>
      <c r="E7" s="350" t="s">
        <v>31</v>
      </c>
      <c r="F7" s="350" t="s">
        <v>31</v>
      </c>
      <c r="G7" s="350" t="s">
        <v>31</v>
      </c>
      <c r="H7" s="350" t="s">
        <v>31</v>
      </c>
      <c r="I7" s="350" t="s">
        <v>31</v>
      </c>
      <c r="J7" s="350" t="s">
        <v>31</v>
      </c>
      <c r="K7" s="350" t="s">
        <v>31</v>
      </c>
      <c r="L7" s="350" t="s">
        <v>31</v>
      </c>
      <c r="M7" s="350">
        <v>1.0209999999999999</v>
      </c>
      <c r="N7" s="350">
        <v>1.0189999999999999</v>
      </c>
      <c r="O7" s="350">
        <v>1.0189999999999999</v>
      </c>
      <c r="P7" s="350">
        <v>1.0149999999999999</v>
      </c>
      <c r="Q7" s="350">
        <v>1.0169999999999999</v>
      </c>
    </row>
    <row r="8" spans="1:17" ht="12" customHeight="1">
      <c r="A8" s="1">
        <f t="shared" si="0"/>
        <v>1999</v>
      </c>
      <c r="B8" s="350" t="s">
        <v>31</v>
      </c>
      <c r="C8" s="350" t="s">
        <v>31</v>
      </c>
      <c r="D8" s="350" t="s">
        <v>31</v>
      </c>
      <c r="E8" s="350" t="s">
        <v>31</v>
      </c>
      <c r="F8" s="350" t="s">
        <v>31</v>
      </c>
      <c r="G8" s="350" t="s">
        <v>31</v>
      </c>
      <c r="H8" s="350" t="s">
        <v>31</v>
      </c>
      <c r="I8" s="350" t="s">
        <v>31</v>
      </c>
      <c r="J8" s="350" t="s">
        <v>31</v>
      </c>
      <c r="K8" s="350" t="s">
        <v>31</v>
      </c>
      <c r="L8" s="350">
        <v>1.0249999999999999</v>
      </c>
      <c r="M8" s="350">
        <v>1.0249999999999999</v>
      </c>
      <c r="N8" s="350">
        <v>1.016</v>
      </c>
      <c r="O8" s="350">
        <v>1.016</v>
      </c>
      <c r="P8" s="350">
        <v>1.018</v>
      </c>
      <c r="Q8" s="350">
        <v>1.0149999999999999</v>
      </c>
    </row>
    <row r="9" spans="1:17" ht="12" customHeight="1">
      <c r="A9" s="1">
        <f t="shared" si="0"/>
        <v>2000</v>
      </c>
      <c r="B9" s="350" t="s">
        <v>31</v>
      </c>
      <c r="C9" s="350" t="s">
        <v>31</v>
      </c>
      <c r="D9" s="350" t="s">
        <v>31</v>
      </c>
      <c r="E9" s="350" t="s">
        <v>31</v>
      </c>
      <c r="F9" s="350" t="s">
        <v>31</v>
      </c>
      <c r="G9" s="350" t="s">
        <v>31</v>
      </c>
      <c r="H9" s="350" t="s">
        <v>31</v>
      </c>
      <c r="I9" s="350" t="s">
        <v>31</v>
      </c>
      <c r="J9" s="350" t="s">
        <v>31</v>
      </c>
      <c r="K9" s="350">
        <v>1.0269999999999999</v>
      </c>
      <c r="L9" s="350">
        <v>1.0229999999999999</v>
      </c>
      <c r="M9" s="350">
        <v>1.02</v>
      </c>
      <c r="N9" s="350">
        <v>1.02</v>
      </c>
      <c r="O9" s="350">
        <v>1.0169999999999999</v>
      </c>
      <c r="P9" s="350">
        <v>1.0129999999999999</v>
      </c>
      <c r="Q9" s="350">
        <v>1.01</v>
      </c>
    </row>
    <row r="10" spans="1:17" ht="12" customHeight="1">
      <c r="A10" s="1">
        <f t="shared" si="0"/>
        <v>2001</v>
      </c>
      <c r="B10" s="350" t="s">
        <v>31</v>
      </c>
      <c r="C10" s="350" t="s">
        <v>31</v>
      </c>
      <c r="D10" s="350" t="s">
        <v>31</v>
      </c>
      <c r="E10" s="350" t="s">
        <v>31</v>
      </c>
      <c r="F10" s="350" t="s">
        <v>31</v>
      </c>
      <c r="G10" s="350" t="s">
        <v>31</v>
      </c>
      <c r="H10" s="350" t="s">
        <v>31</v>
      </c>
      <c r="I10" s="350" t="s">
        <v>31</v>
      </c>
      <c r="J10" s="350">
        <v>1.034</v>
      </c>
      <c r="K10" s="350">
        <v>1.03</v>
      </c>
      <c r="L10" s="350">
        <v>1.022</v>
      </c>
      <c r="M10" s="350">
        <v>1.022</v>
      </c>
      <c r="N10" s="350">
        <v>1.022</v>
      </c>
      <c r="O10" s="350">
        <v>1.0169999999999999</v>
      </c>
      <c r="P10" s="350">
        <v>1.012</v>
      </c>
      <c r="Q10" s="350">
        <v>1.0109999999999999</v>
      </c>
    </row>
    <row r="11" spans="1:17" ht="12" customHeight="1">
      <c r="A11" s="1">
        <f t="shared" si="0"/>
        <v>2002</v>
      </c>
      <c r="B11" s="350" t="s">
        <v>31</v>
      </c>
      <c r="C11" s="350" t="s">
        <v>31</v>
      </c>
      <c r="D11" s="350" t="s">
        <v>31</v>
      </c>
      <c r="E11" s="350" t="s">
        <v>31</v>
      </c>
      <c r="F11" s="350" t="s">
        <v>31</v>
      </c>
      <c r="G11" s="350" t="s">
        <v>31</v>
      </c>
      <c r="H11" s="350" t="s">
        <v>31</v>
      </c>
      <c r="I11" s="350">
        <v>1.034</v>
      </c>
      <c r="J11" s="350">
        <v>1.032</v>
      </c>
      <c r="K11" s="350">
        <v>1.024</v>
      </c>
      <c r="L11" s="350">
        <v>1.0229999999999999</v>
      </c>
      <c r="M11" s="350">
        <v>1.018</v>
      </c>
      <c r="N11" s="350">
        <v>1.016</v>
      </c>
      <c r="O11" s="350">
        <v>1.012</v>
      </c>
      <c r="P11" s="350">
        <v>1.0109999999999999</v>
      </c>
      <c r="Q11" s="350">
        <v>1.01</v>
      </c>
    </row>
    <row r="12" spans="1:17" ht="12" customHeight="1">
      <c r="A12" s="1">
        <f t="shared" si="0"/>
        <v>2003</v>
      </c>
      <c r="B12" s="350" t="s">
        <v>31</v>
      </c>
      <c r="C12" s="350" t="s">
        <v>31</v>
      </c>
      <c r="D12" s="350" t="s">
        <v>31</v>
      </c>
      <c r="E12" s="350" t="s">
        <v>31</v>
      </c>
      <c r="F12" s="350" t="s">
        <v>31</v>
      </c>
      <c r="G12" s="350" t="s">
        <v>31</v>
      </c>
      <c r="H12" s="350">
        <v>1.048</v>
      </c>
      <c r="I12" s="350">
        <v>1.0409999999999999</v>
      </c>
      <c r="J12" s="350">
        <v>1.03</v>
      </c>
      <c r="K12" s="350">
        <v>1.03</v>
      </c>
      <c r="L12" s="350">
        <v>1.026</v>
      </c>
      <c r="M12" s="350">
        <v>1.0189999999999999</v>
      </c>
      <c r="N12" s="350">
        <v>1.016</v>
      </c>
      <c r="O12" s="350">
        <v>1.0129999999999999</v>
      </c>
      <c r="P12" s="350">
        <v>1.012</v>
      </c>
      <c r="Q12" s="350">
        <v>1.01</v>
      </c>
    </row>
    <row r="13" spans="1:17" ht="12" customHeight="1">
      <c r="A13" s="1">
        <f t="shared" si="0"/>
        <v>2004</v>
      </c>
      <c r="B13" s="350" t="s">
        <v>31</v>
      </c>
      <c r="C13" s="350" t="s">
        <v>31</v>
      </c>
      <c r="D13" s="350" t="s">
        <v>31</v>
      </c>
      <c r="E13" s="350" t="s">
        <v>31</v>
      </c>
      <c r="F13" s="350" t="s">
        <v>31</v>
      </c>
      <c r="G13" s="350">
        <v>1.07</v>
      </c>
      <c r="H13" s="350">
        <v>1.0549999999999999</v>
      </c>
      <c r="I13" s="350">
        <v>1.04</v>
      </c>
      <c r="J13" s="350">
        <v>1.036</v>
      </c>
      <c r="K13" s="350">
        <v>1.034</v>
      </c>
      <c r="L13" s="350">
        <v>1.024</v>
      </c>
      <c r="M13" s="350">
        <v>1.018</v>
      </c>
      <c r="N13" s="350">
        <v>1.0149999999999999</v>
      </c>
      <c r="O13" s="350">
        <v>1.012</v>
      </c>
      <c r="P13" s="350">
        <v>1.0129999999999999</v>
      </c>
      <c r="Q13" s="350">
        <v>1.0089999999999999</v>
      </c>
    </row>
    <row r="14" spans="1:17" ht="12" customHeight="1">
      <c r="A14" s="1">
        <f t="shared" si="0"/>
        <v>2005</v>
      </c>
      <c r="B14" s="350" t="s">
        <v>31</v>
      </c>
      <c r="C14" s="350" t="s">
        <v>31</v>
      </c>
      <c r="D14" s="350" t="s">
        <v>31</v>
      </c>
      <c r="E14" s="350" t="s">
        <v>31</v>
      </c>
      <c r="F14" s="350">
        <v>1.095</v>
      </c>
      <c r="G14" s="350">
        <v>1.073</v>
      </c>
      <c r="H14" s="350">
        <v>1.054</v>
      </c>
      <c r="I14" s="350">
        <v>1.0489999999999999</v>
      </c>
      <c r="J14" s="350">
        <v>1.038</v>
      </c>
      <c r="K14" s="350">
        <v>1.0309999999999999</v>
      </c>
      <c r="L14" s="350">
        <v>1.0209999999999999</v>
      </c>
      <c r="M14" s="350">
        <v>1.0189999999999999</v>
      </c>
      <c r="N14" s="350">
        <v>1.014</v>
      </c>
      <c r="O14" s="350">
        <v>1.0129999999999999</v>
      </c>
      <c r="P14" s="350">
        <v>1.012</v>
      </c>
      <c r="Q14" s="350">
        <v>1.008</v>
      </c>
    </row>
    <row r="15" spans="1:17" ht="12" customHeight="1">
      <c r="A15" s="1">
        <f t="shared" si="0"/>
        <v>2006</v>
      </c>
      <c r="B15" s="350" t="s">
        <v>31</v>
      </c>
      <c r="C15" s="350" t="s">
        <v>31</v>
      </c>
      <c r="D15" s="350" t="s">
        <v>31</v>
      </c>
      <c r="E15" s="350">
        <v>1.1399999999999999</v>
      </c>
      <c r="F15" s="350">
        <v>1.099</v>
      </c>
      <c r="G15" s="350">
        <v>1.0680000000000001</v>
      </c>
      <c r="H15" s="350">
        <v>1.056</v>
      </c>
      <c r="I15" s="350">
        <v>1.042</v>
      </c>
      <c r="J15" s="350">
        <v>1.034</v>
      </c>
      <c r="K15" s="350">
        <v>1.0249999999999999</v>
      </c>
      <c r="L15" s="350">
        <v>1.02</v>
      </c>
      <c r="M15" s="350">
        <v>1.0149999999999999</v>
      </c>
      <c r="N15" s="350">
        <v>1.014</v>
      </c>
      <c r="O15" s="350">
        <v>1.0109999999999999</v>
      </c>
      <c r="P15" s="350">
        <v>1.01</v>
      </c>
      <c r="Q15" s="350">
        <v>1.008</v>
      </c>
    </row>
    <row r="16" spans="1:17" ht="12" customHeight="1">
      <c r="A16" s="181">
        <f t="shared" si="0"/>
        <v>2007</v>
      </c>
      <c r="B16" s="350" t="s">
        <v>31</v>
      </c>
      <c r="C16" s="350" t="s">
        <v>31</v>
      </c>
      <c r="D16" s="350">
        <v>1.23</v>
      </c>
      <c r="E16" s="350">
        <v>1.1419999999999999</v>
      </c>
      <c r="F16" s="350">
        <v>1.097</v>
      </c>
      <c r="G16" s="350">
        <v>1.075</v>
      </c>
      <c r="H16" s="350">
        <v>1.0569999999999999</v>
      </c>
      <c r="I16" s="350">
        <v>1.0409999999999999</v>
      </c>
      <c r="J16" s="350">
        <v>1.0309999999999999</v>
      </c>
      <c r="K16" s="350">
        <v>1.022</v>
      </c>
      <c r="L16" s="350">
        <v>1.02</v>
      </c>
      <c r="M16" s="350">
        <v>1.0149999999999999</v>
      </c>
      <c r="N16" s="350">
        <v>1.012</v>
      </c>
      <c r="O16" s="350">
        <v>1.0089999999999999</v>
      </c>
      <c r="P16" s="350">
        <v>1.0069999999999999</v>
      </c>
      <c r="Q16" s="350">
        <v>1.006</v>
      </c>
    </row>
    <row r="17" spans="1:17" ht="12" customHeight="1">
      <c r="A17" s="181">
        <f t="shared" si="0"/>
        <v>2008</v>
      </c>
      <c r="B17" s="350" t="s">
        <v>31</v>
      </c>
      <c r="C17" s="350">
        <v>1.421</v>
      </c>
      <c r="D17" s="350">
        <v>1.2410000000000001</v>
      </c>
      <c r="E17" s="350">
        <v>1.1479999999999999</v>
      </c>
      <c r="F17" s="350">
        <v>1.103</v>
      </c>
      <c r="G17" s="350">
        <v>1.0720000000000001</v>
      </c>
      <c r="H17" s="350">
        <v>1.0509999999999999</v>
      </c>
      <c r="I17" s="350">
        <v>1.0349999999999999</v>
      </c>
      <c r="J17" s="350">
        <v>1.0269999999999999</v>
      </c>
      <c r="K17" s="350">
        <v>1.018</v>
      </c>
      <c r="L17" s="350">
        <v>1.0169999999999999</v>
      </c>
      <c r="M17" s="350">
        <v>1.012</v>
      </c>
      <c r="N17" s="350">
        <v>1.0089999999999999</v>
      </c>
      <c r="O17" s="350">
        <v>1.008</v>
      </c>
      <c r="P17" s="350">
        <v>1.006</v>
      </c>
      <c r="Q17" s="350" t="s">
        <v>31</v>
      </c>
    </row>
    <row r="18" spans="1:17" ht="12" customHeight="1">
      <c r="A18" s="181">
        <f t="shared" si="0"/>
        <v>2009</v>
      </c>
      <c r="B18" s="350">
        <v>2.4079999999999999</v>
      </c>
      <c r="C18" s="350">
        <v>1.4470000000000001</v>
      </c>
      <c r="D18" s="350">
        <v>1.2509999999999999</v>
      </c>
      <c r="E18" s="350">
        <v>1.1599999999999999</v>
      </c>
      <c r="F18" s="350">
        <v>1.1040000000000001</v>
      </c>
      <c r="G18" s="350">
        <v>1.0669999999999999</v>
      </c>
      <c r="H18" s="350">
        <v>1.046</v>
      </c>
      <c r="I18" s="350">
        <v>1.032</v>
      </c>
      <c r="J18" s="350">
        <v>1.024</v>
      </c>
      <c r="K18" s="350">
        <v>1.0189999999999999</v>
      </c>
      <c r="L18" s="350">
        <v>1.0129999999999999</v>
      </c>
      <c r="M18" s="350">
        <v>1.014</v>
      </c>
      <c r="N18" s="350">
        <v>1.0089999999999999</v>
      </c>
      <c r="O18" s="350">
        <v>1.0109999999999999</v>
      </c>
      <c r="P18" s="350" t="s">
        <v>31</v>
      </c>
      <c r="Q18" s="350" t="s">
        <v>31</v>
      </c>
    </row>
    <row r="19" spans="1:17" ht="12" customHeight="1">
      <c r="A19" s="181">
        <f t="shared" si="0"/>
        <v>2010</v>
      </c>
      <c r="B19" s="350">
        <v>2.4790000000000001</v>
      </c>
      <c r="C19" s="350">
        <v>1.468</v>
      </c>
      <c r="D19" s="350">
        <v>1.2649999999999999</v>
      </c>
      <c r="E19" s="350">
        <v>1.1519999999999999</v>
      </c>
      <c r="F19" s="350">
        <v>1.0960000000000001</v>
      </c>
      <c r="G19" s="350">
        <v>1.0660000000000001</v>
      </c>
      <c r="H19" s="350">
        <v>1.0429999999999999</v>
      </c>
      <c r="I19" s="350">
        <v>1.03</v>
      </c>
      <c r="J19" s="350">
        <v>1.024</v>
      </c>
      <c r="K19" s="350">
        <v>1.0169999999999999</v>
      </c>
      <c r="L19" s="350">
        <v>1.0129999999999999</v>
      </c>
      <c r="M19" s="350">
        <v>1.0089999999999999</v>
      </c>
      <c r="N19" s="350">
        <v>1.008</v>
      </c>
      <c r="O19" s="350" t="s">
        <v>31</v>
      </c>
      <c r="P19" s="350" t="s">
        <v>31</v>
      </c>
      <c r="Q19" s="350" t="s">
        <v>31</v>
      </c>
    </row>
    <row r="20" spans="1:17" ht="12" customHeight="1">
      <c r="A20" s="181">
        <f t="shared" si="0"/>
        <v>2011</v>
      </c>
      <c r="B20" s="350">
        <v>2.58</v>
      </c>
      <c r="C20" s="350">
        <v>1.47</v>
      </c>
      <c r="D20" s="350">
        <v>1.248</v>
      </c>
      <c r="E20" s="350">
        <v>1.145</v>
      </c>
      <c r="F20" s="350">
        <v>1.095</v>
      </c>
      <c r="G20" s="350">
        <v>1.0580000000000001</v>
      </c>
      <c r="H20" s="350">
        <v>1.0409999999999999</v>
      </c>
      <c r="I20" s="350">
        <v>1.028</v>
      </c>
      <c r="J20" s="350">
        <v>1.018</v>
      </c>
      <c r="K20" s="350">
        <v>1.0149999999999999</v>
      </c>
      <c r="L20" s="350">
        <v>1.0109999999999999</v>
      </c>
      <c r="M20" s="350">
        <v>1.0089999999999999</v>
      </c>
      <c r="N20" s="350" t="s">
        <v>31</v>
      </c>
      <c r="O20" s="350" t="s">
        <v>31</v>
      </c>
      <c r="P20" s="350" t="s">
        <v>31</v>
      </c>
      <c r="Q20" s="350" t="s">
        <v>31</v>
      </c>
    </row>
    <row r="21" spans="1:17" ht="12" customHeight="1">
      <c r="A21" s="181">
        <f t="shared" si="0"/>
        <v>2012</v>
      </c>
      <c r="B21" s="350">
        <v>2.5609999999999999</v>
      </c>
      <c r="C21" s="350">
        <v>1.468</v>
      </c>
      <c r="D21" s="350">
        <v>1.2470000000000001</v>
      </c>
      <c r="E21" s="350">
        <v>1.143</v>
      </c>
      <c r="F21" s="350">
        <v>1.087</v>
      </c>
      <c r="G21" s="350">
        <v>1.056</v>
      </c>
      <c r="H21" s="350">
        <v>1.0389999999999999</v>
      </c>
      <c r="I21" s="350">
        <v>1.0229999999999999</v>
      </c>
      <c r="J21" s="350">
        <v>1.0189999999999999</v>
      </c>
      <c r="K21" s="350">
        <v>1.014</v>
      </c>
      <c r="L21" s="350">
        <v>1.014</v>
      </c>
      <c r="M21" s="350" t="s">
        <v>31</v>
      </c>
      <c r="N21" s="350" t="s">
        <v>31</v>
      </c>
      <c r="O21" s="350" t="s">
        <v>31</v>
      </c>
      <c r="P21" s="350" t="s">
        <v>31</v>
      </c>
      <c r="Q21" s="350" t="s">
        <v>31</v>
      </c>
    </row>
    <row r="22" spans="1:17" ht="12" customHeight="1">
      <c r="A22" s="181">
        <f t="shared" si="0"/>
        <v>2013</v>
      </c>
      <c r="B22" s="350">
        <v>2.492</v>
      </c>
      <c r="C22" s="350">
        <v>1.464</v>
      </c>
      <c r="D22" s="350">
        <v>1.238</v>
      </c>
      <c r="E22" s="350">
        <v>1.1299999999999999</v>
      </c>
      <c r="F22" s="350">
        <v>1.077</v>
      </c>
      <c r="G22" s="350">
        <v>1.048</v>
      </c>
      <c r="H22" s="350">
        <v>1.0289999999999999</v>
      </c>
      <c r="I22" s="350">
        <v>1.022</v>
      </c>
      <c r="J22" s="350">
        <v>1.016</v>
      </c>
      <c r="K22" s="350">
        <v>1.0129999999999999</v>
      </c>
      <c r="L22" s="350" t="s">
        <v>31</v>
      </c>
      <c r="M22" s="350" t="s">
        <v>31</v>
      </c>
      <c r="N22" s="350" t="s">
        <v>31</v>
      </c>
      <c r="O22" s="350" t="s">
        <v>31</v>
      </c>
      <c r="P22" s="350" t="s">
        <v>31</v>
      </c>
      <c r="Q22" s="350" t="s">
        <v>31</v>
      </c>
    </row>
    <row r="23" spans="1:17" ht="12" customHeight="1">
      <c r="A23" s="181">
        <f t="shared" si="0"/>
        <v>2014</v>
      </c>
      <c r="B23" s="350">
        <v>2.5179999999999998</v>
      </c>
      <c r="C23" s="350">
        <v>1.462</v>
      </c>
      <c r="D23" s="350">
        <v>1.226</v>
      </c>
      <c r="E23" s="350">
        <v>1.121</v>
      </c>
      <c r="F23" s="350">
        <v>1.0760000000000001</v>
      </c>
      <c r="G23" s="350">
        <v>1.0429999999999999</v>
      </c>
      <c r="H23" s="350">
        <v>1.0329999999999999</v>
      </c>
      <c r="I23" s="350">
        <v>1.022</v>
      </c>
      <c r="J23" s="350">
        <v>1.0169999999999999</v>
      </c>
      <c r="K23" s="350" t="s">
        <v>31</v>
      </c>
      <c r="L23" s="350" t="s">
        <v>31</v>
      </c>
      <c r="M23" s="350" t="s">
        <v>31</v>
      </c>
      <c r="N23" s="350" t="s">
        <v>31</v>
      </c>
      <c r="O23" s="350" t="s">
        <v>31</v>
      </c>
      <c r="P23" s="350" t="s">
        <v>31</v>
      </c>
      <c r="Q23" s="350" t="s">
        <v>31</v>
      </c>
    </row>
    <row r="24" spans="1:17" ht="12" customHeight="1">
      <c r="A24" s="181">
        <f t="shared" si="0"/>
        <v>2015</v>
      </c>
      <c r="B24" s="350">
        <v>2.5329999999999999</v>
      </c>
      <c r="C24" s="350">
        <v>1.4390000000000001</v>
      </c>
      <c r="D24" s="350">
        <v>1.218</v>
      </c>
      <c r="E24" s="350">
        <v>1.111</v>
      </c>
      <c r="F24" s="350">
        <v>1.0620000000000001</v>
      </c>
      <c r="G24" s="350">
        <v>1.044</v>
      </c>
      <c r="H24" s="350">
        <v>1.0289999999999999</v>
      </c>
      <c r="I24" s="350">
        <v>1.0229999999999999</v>
      </c>
      <c r="J24" s="350" t="s">
        <v>31</v>
      </c>
      <c r="K24" s="350" t="s">
        <v>31</v>
      </c>
      <c r="L24" s="350" t="s">
        <v>31</v>
      </c>
      <c r="M24" s="350" t="s">
        <v>31</v>
      </c>
      <c r="N24" s="350" t="s">
        <v>31</v>
      </c>
      <c r="O24" s="350" t="s">
        <v>31</v>
      </c>
      <c r="P24" s="350" t="s">
        <v>31</v>
      </c>
      <c r="Q24" s="350" t="s">
        <v>31</v>
      </c>
    </row>
    <row r="25" spans="1:17" ht="12" customHeight="1">
      <c r="A25" s="181">
        <f t="shared" si="0"/>
        <v>2016</v>
      </c>
      <c r="B25" s="350">
        <v>2.48</v>
      </c>
      <c r="C25" s="350">
        <v>1.41</v>
      </c>
      <c r="D25" s="350">
        <v>1.196</v>
      </c>
      <c r="E25" s="350">
        <v>1.099</v>
      </c>
      <c r="F25" s="350">
        <v>1.0640000000000001</v>
      </c>
      <c r="G25" s="350">
        <v>1.048</v>
      </c>
      <c r="H25" s="350">
        <v>1.028</v>
      </c>
      <c r="I25" s="350" t="s">
        <v>31</v>
      </c>
      <c r="J25" s="350" t="s">
        <v>31</v>
      </c>
      <c r="K25" s="350" t="s">
        <v>31</v>
      </c>
      <c r="L25" s="350" t="s">
        <v>31</v>
      </c>
      <c r="M25" s="350" t="s">
        <v>31</v>
      </c>
      <c r="N25" s="350" t="s">
        <v>31</v>
      </c>
      <c r="O25" s="350" t="s">
        <v>31</v>
      </c>
      <c r="P25" s="350" t="s">
        <v>31</v>
      </c>
      <c r="Q25" s="350" t="s">
        <v>31</v>
      </c>
    </row>
    <row r="26" spans="1:17" ht="12" customHeight="1">
      <c r="A26" s="181">
        <f t="shared" si="0"/>
        <v>2017</v>
      </c>
      <c r="B26" s="350">
        <v>2.3730000000000002</v>
      </c>
      <c r="C26" s="350">
        <v>1.391</v>
      </c>
      <c r="D26" s="350">
        <v>1.177</v>
      </c>
      <c r="E26" s="350">
        <v>1.1040000000000001</v>
      </c>
      <c r="F26" s="350">
        <v>1.071</v>
      </c>
      <c r="G26" s="350">
        <v>1.044</v>
      </c>
      <c r="H26" s="350" t="s">
        <v>31</v>
      </c>
      <c r="I26" s="350" t="s">
        <v>31</v>
      </c>
      <c r="J26" s="350" t="s">
        <v>31</v>
      </c>
      <c r="K26" s="350" t="s">
        <v>31</v>
      </c>
      <c r="L26" s="350" t="s">
        <v>31</v>
      </c>
      <c r="M26" s="350" t="s">
        <v>31</v>
      </c>
      <c r="N26" s="350" t="s">
        <v>31</v>
      </c>
      <c r="O26" s="350" t="s">
        <v>31</v>
      </c>
      <c r="P26" s="350" t="s">
        <v>31</v>
      </c>
      <c r="Q26" s="350" t="s">
        <v>31</v>
      </c>
    </row>
    <row r="27" spans="1:17" ht="12" customHeight="1">
      <c r="A27" s="181">
        <f t="shared" si="0"/>
        <v>2018</v>
      </c>
      <c r="B27" s="350">
        <v>2.3780000000000001</v>
      </c>
      <c r="C27" s="350">
        <v>1.3779999999999999</v>
      </c>
      <c r="D27" s="350">
        <v>1.1970000000000001</v>
      </c>
      <c r="E27" s="350">
        <v>1.105</v>
      </c>
      <c r="F27" s="350">
        <v>1.073</v>
      </c>
      <c r="G27" s="350" t="s">
        <v>31</v>
      </c>
      <c r="H27" s="350" t="s">
        <v>31</v>
      </c>
      <c r="I27" s="350" t="s">
        <v>31</v>
      </c>
      <c r="J27" s="350" t="s">
        <v>31</v>
      </c>
      <c r="K27" s="350" t="s">
        <v>31</v>
      </c>
      <c r="L27" s="350" t="s">
        <v>31</v>
      </c>
      <c r="M27" s="350" t="s">
        <v>31</v>
      </c>
      <c r="N27" s="350" t="s">
        <v>31</v>
      </c>
      <c r="O27" s="350" t="s">
        <v>31</v>
      </c>
      <c r="P27" s="350" t="s">
        <v>31</v>
      </c>
      <c r="Q27" s="350" t="s">
        <v>31</v>
      </c>
    </row>
    <row r="28" spans="1:17" ht="12" customHeight="1">
      <c r="A28" s="181">
        <f t="shared" si="0"/>
        <v>2019</v>
      </c>
      <c r="B28" s="350">
        <v>2.347</v>
      </c>
      <c r="C28" s="350">
        <v>1.4279999999999999</v>
      </c>
      <c r="D28" s="350">
        <v>1.218</v>
      </c>
      <c r="E28" s="350">
        <v>1.123</v>
      </c>
      <c r="F28" s="350" t="s">
        <v>31</v>
      </c>
      <c r="G28" s="350" t="s">
        <v>31</v>
      </c>
      <c r="H28" s="350" t="s">
        <v>31</v>
      </c>
      <c r="I28" s="350" t="s">
        <v>31</v>
      </c>
      <c r="J28" s="350" t="s">
        <v>31</v>
      </c>
      <c r="K28" s="350" t="s">
        <v>31</v>
      </c>
      <c r="L28" s="350" t="s">
        <v>31</v>
      </c>
      <c r="M28" s="350" t="s">
        <v>31</v>
      </c>
      <c r="N28" s="350" t="s">
        <v>31</v>
      </c>
      <c r="O28" s="350" t="s">
        <v>31</v>
      </c>
      <c r="P28" s="350" t="s">
        <v>31</v>
      </c>
      <c r="Q28" s="350" t="s">
        <v>31</v>
      </c>
    </row>
    <row r="29" spans="1:17" ht="12" customHeight="1">
      <c r="A29" s="181">
        <f t="shared" si="0"/>
        <v>2020</v>
      </c>
      <c r="B29" s="350">
        <v>2.4929999999999999</v>
      </c>
      <c r="C29" s="350">
        <v>1.444</v>
      </c>
      <c r="D29" s="350">
        <v>1.2270000000000001</v>
      </c>
      <c r="E29" s="350" t="s">
        <v>31</v>
      </c>
      <c r="F29" s="350" t="s">
        <v>31</v>
      </c>
      <c r="G29" s="350" t="s">
        <v>31</v>
      </c>
      <c r="H29" s="350" t="s">
        <v>31</v>
      </c>
      <c r="I29" s="350" t="s">
        <v>31</v>
      </c>
      <c r="J29" s="350" t="s">
        <v>31</v>
      </c>
      <c r="K29" s="350" t="s">
        <v>31</v>
      </c>
      <c r="L29" s="350" t="s">
        <v>31</v>
      </c>
      <c r="M29" s="350" t="s">
        <v>31</v>
      </c>
      <c r="N29" s="350" t="s">
        <v>31</v>
      </c>
      <c r="O29" s="350" t="s">
        <v>31</v>
      </c>
      <c r="P29" s="350" t="s">
        <v>31</v>
      </c>
      <c r="Q29" s="350" t="s">
        <v>31</v>
      </c>
    </row>
    <row r="30" spans="1:17" ht="12" customHeight="1">
      <c r="A30" s="181">
        <f t="shared" si="0"/>
        <v>2021</v>
      </c>
      <c r="B30" s="350">
        <v>2.492</v>
      </c>
      <c r="C30" s="350">
        <v>1.45</v>
      </c>
      <c r="D30" s="350" t="s">
        <v>31</v>
      </c>
      <c r="E30" s="350" t="s">
        <v>31</v>
      </c>
      <c r="F30" s="350" t="s">
        <v>31</v>
      </c>
      <c r="G30" s="350" t="s">
        <v>31</v>
      </c>
      <c r="H30" s="350" t="s">
        <v>31</v>
      </c>
      <c r="I30" s="350" t="s">
        <v>31</v>
      </c>
      <c r="J30" s="350" t="s">
        <v>31</v>
      </c>
      <c r="K30" s="350" t="s">
        <v>31</v>
      </c>
      <c r="L30" s="350" t="s">
        <v>31</v>
      </c>
      <c r="M30" s="350" t="s">
        <v>31</v>
      </c>
      <c r="N30" s="350" t="s">
        <v>31</v>
      </c>
      <c r="O30" s="350" t="s">
        <v>31</v>
      </c>
      <c r="P30" s="350" t="s">
        <v>31</v>
      </c>
      <c r="Q30" s="350" t="s">
        <v>31</v>
      </c>
    </row>
    <row r="31" spans="1:17" ht="12" customHeight="1">
      <c r="A31" s="1">
        <f>'Exhibit 2.3.1'!A31</f>
        <v>2022</v>
      </c>
      <c r="B31" s="350">
        <v>2.6179999999999999</v>
      </c>
      <c r="C31" s="350" t="s">
        <v>31</v>
      </c>
      <c r="D31" s="350" t="s">
        <v>31</v>
      </c>
      <c r="E31" s="350" t="s">
        <v>31</v>
      </c>
      <c r="F31" s="350" t="s">
        <v>31</v>
      </c>
      <c r="G31" s="350" t="s">
        <v>31</v>
      </c>
      <c r="H31" s="350" t="s">
        <v>31</v>
      </c>
      <c r="I31" s="350" t="s">
        <v>31</v>
      </c>
      <c r="J31" s="350" t="s">
        <v>31</v>
      </c>
      <c r="K31" s="350" t="s">
        <v>31</v>
      </c>
      <c r="L31" s="350" t="s">
        <v>31</v>
      </c>
      <c r="M31" s="350" t="s">
        <v>31</v>
      </c>
      <c r="N31" s="350" t="s">
        <v>31</v>
      </c>
      <c r="O31" s="350" t="s">
        <v>31</v>
      </c>
      <c r="P31" s="350" t="s">
        <v>31</v>
      </c>
      <c r="Q31" s="350" t="s">
        <v>31</v>
      </c>
    </row>
    <row r="32" spans="1:17" ht="12" customHeight="1">
      <c r="A32" s="10"/>
      <c r="B32" s="10"/>
      <c r="C32" s="10"/>
      <c r="D32" s="10"/>
      <c r="E32" s="10"/>
      <c r="F32" s="10"/>
      <c r="G32" s="10"/>
      <c r="H32" s="10"/>
      <c r="I32" s="10"/>
      <c r="J32" s="10"/>
      <c r="K32" s="10"/>
      <c r="L32" s="10"/>
      <c r="M32" s="10"/>
      <c r="N32" s="10"/>
      <c r="O32" s="10"/>
      <c r="P32" s="10"/>
    </row>
    <row r="33" spans="1:17" ht="12" customHeight="1">
      <c r="A33" s="1" t="s">
        <v>51</v>
      </c>
      <c r="B33" s="117" t="s">
        <v>18</v>
      </c>
      <c r="C33" s="117"/>
      <c r="D33" s="117"/>
      <c r="E33" s="117"/>
      <c r="F33" s="117"/>
      <c r="G33" s="117"/>
      <c r="H33" s="117"/>
      <c r="I33" s="117"/>
      <c r="J33" s="117"/>
      <c r="K33" s="117"/>
      <c r="L33" s="117"/>
      <c r="M33" s="117"/>
      <c r="N33" s="117"/>
      <c r="O33" s="117"/>
      <c r="P33" s="117"/>
      <c r="Q33" s="117"/>
    </row>
    <row r="34" spans="1:17" ht="12" customHeight="1">
      <c r="A34" s="6" t="s">
        <v>19</v>
      </c>
      <c r="B34" s="6" t="s">
        <v>422</v>
      </c>
      <c r="C34" s="6" t="s">
        <v>423</v>
      </c>
      <c r="D34" s="6" t="s">
        <v>424</v>
      </c>
      <c r="E34" s="6" t="s">
        <v>425</v>
      </c>
      <c r="F34" s="6" t="s">
        <v>426</v>
      </c>
      <c r="G34" s="6" t="s">
        <v>427</v>
      </c>
      <c r="H34" s="6" t="s">
        <v>428</v>
      </c>
      <c r="I34" s="6" t="s">
        <v>429</v>
      </c>
      <c r="J34" s="6" t="s">
        <v>430</v>
      </c>
      <c r="K34" s="6" t="s">
        <v>431</v>
      </c>
      <c r="L34" s="6" t="s">
        <v>432</v>
      </c>
      <c r="M34" s="6" t="s">
        <v>433</v>
      </c>
      <c r="N34" s="6" t="s">
        <v>434</v>
      </c>
      <c r="O34" s="6" t="s">
        <v>435</v>
      </c>
      <c r="P34" s="6" t="s">
        <v>436</v>
      </c>
      <c r="Q34" s="6" t="s">
        <v>437</v>
      </c>
    </row>
    <row r="35" spans="1:17" ht="12" customHeight="1">
      <c r="A35" s="181">
        <f t="shared" ref="A35:A51" si="1">+A14</f>
        <v>2005</v>
      </c>
      <c r="B35" s="350"/>
      <c r="C35" s="350"/>
      <c r="D35" s="350"/>
      <c r="E35" s="350"/>
      <c r="F35" s="350"/>
      <c r="G35" s="350"/>
      <c r="H35" s="350"/>
      <c r="I35" s="350"/>
      <c r="J35" s="350"/>
      <c r="K35" s="350"/>
      <c r="L35" s="350"/>
      <c r="M35" s="350"/>
      <c r="N35" s="350"/>
      <c r="O35" s="350"/>
      <c r="P35" s="350"/>
      <c r="Q35" s="350">
        <v>1.008</v>
      </c>
    </row>
    <row r="36" spans="1:17" ht="12" customHeight="1">
      <c r="A36" s="181">
        <f t="shared" si="1"/>
        <v>2006</v>
      </c>
      <c r="B36" s="350"/>
      <c r="C36" s="350"/>
      <c r="D36" s="350"/>
      <c r="E36" s="350"/>
      <c r="F36" s="350"/>
      <c r="G36" s="350"/>
      <c r="H36" s="350"/>
      <c r="I36" s="350"/>
      <c r="J36" s="350"/>
      <c r="K36" s="350"/>
      <c r="L36" s="350"/>
      <c r="M36" s="350"/>
      <c r="N36" s="350"/>
      <c r="O36" s="350"/>
      <c r="P36" s="350">
        <v>1.0109999999999999</v>
      </c>
      <c r="Q36" s="350">
        <v>1.0089999999999999</v>
      </c>
    </row>
    <row r="37" spans="1:17" ht="12" customHeight="1">
      <c r="A37" s="181">
        <f t="shared" si="1"/>
        <v>2007</v>
      </c>
      <c r="B37" s="350"/>
      <c r="C37" s="350"/>
      <c r="D37" s="350"/>
      <c r="E37" s="350"/>
      <c r="F37" s="350"/>
      <c r="G37" s="350"/>
      <c r="H37" s="350"/>
      <c r="I37" s="350"/>
      <c r="J37" s="350"/>
      <c r="K37" s="350"/>
      <c r="L37" s="350"/>
      <c r="M37" s="350"/>
      <c r="N37" s="350"/>
      <c r="O37" s="350">
        <v>1.01</v>
      </c>
      <c r="P37" s="350">
        <v>1.008</v>
      </c>
      <c r="Q37" s="350">
        <v>1.0069999999999999</v>
      </c>
    </row>
    <row r="38" spans="1:17" ht="12" customHeight="1">
      <c r="A38" s="181">
        <f t="shared" si="1"/>
        <v>2008</v>
      </c>
      <c r="B38" s="350"/>
      <c r="C38" s="350"/>
      <c r="D38" s="350"/>
      <c r="E38" s="350"/>
      <c r="F38" s="350"/>
      <c r="G38" s="350"/>
      <c r="H38" s="350"/>
      <c r="I38" s="350"/>
      <c r="J38" s="350"/>
      <c r="K38" s="350"/>
      <c r="L38" s="350"/>
      <c r="M38" s="350"/>
      <c r="N38" s="350">
        <v>1.01</v>
      </c>
      <c r="O38" s="350">
        <v>1.0089999999999999</v>
      </c>
      <c r="P38" s="350">
        <v>1.0069999999999999</v>
      </c>
      <c r="Q38" s="350"/>
    </row>
    <row r="39" spans="1:17" ht="12" customHeight="1">
      <c r="A39" s="181">
        <f t="shared" si="1"/>
        <v>2009</v>
      </c>
      <c r="B39" s="350"/>
      <c r="C39" s="350"/>
      <c r="D39" s="350"/>
      <c r="E39" s="350"/>
      <c r="F39" s="350"/>
      <c r="G39" s="350"/>
      <c r="H39" s="350"/>
      <c r="I39" s="350"/>
      <c r="J39" s="350"/>
      <c r="K39" s="350"/>
      <c r="L39" s="350"/>
      <c r="M39" s="350">
        <v>1.0149999999999999</v>
      </c>
      <c r="N39" s="350">
        <v>1.01</v>
      </c>
      <c r="O39" s="350">
        <v>1.012</v>
      </c>
      <c r="P39" s="350"/>
      <c r="Q39" s="350"/>
    </row>
    <row r="40" spans="1:17" ht="12" customHeight="1">
      <c r="A40" s="181">
        <f t="shared" si="1"/>
        <v>2010</v>
      </c>
      <c r="B40" s="350"/>
      <c r="C40" s="350"/>
      <c r="D40" s="350"/>
      <c r="E40" s="350"/>
      <c r="F40" s="350"/>
      <c r="G40" s="350"/>
      <c r="H40" s="350"/>
      <c r="I40" s="350"/>
      <c r="J40" s="350"/>
      <c r="K40" s="350"/>
      <c r="L40" s="350">
        <v>1.014</v>
      </c>
      <c r="M40" s="350">
        <v>1.0089999999999999</v>
      </c>
      <c r="N40" s="350">
        <v>1.0089999999999999</v>
      </c>
      <c r="O40" s="350"/>
      <c r="P40" s="350"/>
      <c r="Q40" s="350"/>
    </row>
    <row r="41" spans="1:17" ht="12" customHeight="1">
      <c r="A41" s="181">
        <f t="shared" si="1"/>
        <v>2011</v>
      </c>
      <c r="B41" s="350"/>
      <c r="C41" s="350"/>
      <c r="D41" s="350"/>
      <c r="E41" s="350"/>
      <c r="F41" s="350"/>
      <c r="G41" s="350"/>
      <c r="H41" s="350"/>
      <c r="I41" s="350"/>
      <c r="J41" s="350"/>
      <c r="K41" s="350">
        <v>1.016</v>
      </c>
      <c r="L41" s="350">
        <v>1.0109999999999999</v>
      </c>
      <c r="M41" s="350">
        <v>1.01</v>
      </c>
      <c r="N41" s="350"/>
      <c r="O41" s="350"/>
      <c r="P41" s="350"/>
      <c r="Q41" s="350"/>
    </row>
    <row r="42" spans="1:17" ht="12" customHeight="1">
      <c r="A42" s="181">
        <f t="shared" si="1"/>
        <v>2012</v>
      </c>
      <c r="B42" s="350"/>
      <c r="C42" s="350"/>
      <c r="D42" s="350"/>
      <c r="E42" s="350"/>
      <c r="F42" s="350"/>
      <c r="G42" s="350"/>
      <c r="H42" s="350"/>
      <c r="I42" s="350"/>
      <c r="J42" s="350">
        <v>1.02</v>
      </c>
      <c r="K42" s="350">
        <v>1.0149999999999999</v>
      </c>
      <c r="L42" s="350">
        <v>1.014</v>
      </c>
      <c r="M42" s="350"/>
      <c r="N42" s="350"/>
      <c r="O42" s="350"/>
      <c r="P42" s="350"/>
      <c r="Q42" s="350"/>
    </row>
    <row r="43" spans="1:17" ht="12" customHeight="1">
      <c r="A43" s="181">
        <f t="shared" si="1"/>
        <v>2013</v>
      </c>
      <c r="B43" s="350"/>
      <c r="C43" s="350"/>
      <c r="D43" s="350"/>
      <c r="E43" s="350"/>
      <c r="F43" s="350"/>
      <c r="G43" s="350"/>
      <c r="H43" s="350"/>
      <c r="I43" s="350">
        <v>1.0229999999999999</v>
      </c>
      <c r="J43" s="350">
        <v>1.016</v>
      </c>
      <c r="K43" s="350">
        <v>1.0129999999999999</v>
      </c>
      <c r="L43" s="350"/>
      <c r="M43" s="350"/>
      <c r="N43" s="350"/>
      <c r="O43" s="350"/>
      <c r="P43" s="350"/>
      <c r="Q43" s="350"/>
    </row>
    <row r="44" spans="1:17" ht="12" customHeight="1">
      <c r="A44" s="181">
        <f t="shared" si="1"/>
        <v>2014</v>
      </c>
      <c r="B44" s="350"/>
      <c r="C44" s="350"/>
      <c r="D44" s="350"/>
      <c r="E44" s="350"/>
      <c r="F44" s="350"/>
      <c r="G44" s="350"/>
      <c r="H44" s="350">
        <v>1.0329999999999999</v>
      </c>
      <c r="I44" s="350">
        <v>1.0209999999999999</v>
      </c>
      <c r="J44" s="350">
        <v>1.0169999999999999</v>
      </c>
      <c r="K44" s="350"/>
      <c r="L44" s="350"/>
      <c r="M44" s="350"/>
      <c r="N44" s="350"/>
      <c r="O44" s="350"/>
      <c r="P44" s="350"/>
      <c r="Q44" s="350"/>
    </row>
    <row r="45" spans="1:17" ht="12" customHeight="1">
      <c r="A45" s="181">
        <f t="shared" si="1"/>
        <v>2015</v>
      </c>
      <c r="B45" s="350"/>
      <c r="C45" s="350"/>
      <c r="D45" s="350"/>
      <c r="E45" s="350"/>
      <c r="F45" s="350"/>
      <c r="G45" s="350">
        <v>1.044</v>
      </c>
      <c r="H45" s="350">
        <v>1.028</v>
      </c>
      <c r="I45" s="350">
        <v>1.022</v>
      </c>
      <c r="J45" s="350"/>
      <c r="K45" s="350"/>
      <c r="L45" s="350"/>
      <c r="M45" s="350"/>
      <c r="N45" s="350"/>
      <c r="O45" s="350"/>
      <c r="P45" s="350"/>
      <c r="Q45" s="350"/>
    </row>
    <row r="46" spans="1:17" ht="12" customHeight="1">
      <c r="A46" s="181">
        <f t="shared" si="1"/>
        <v>2016</v>
      </c>
      <c r="B46" s="350"/>
      <c r="C46" s="350"/>
      <c r="D46" s="350"/>
      <c r="E46" s="350"/>
      <c r="F46" s="350">
        <v>1.0629999999999999</v>
      </c>
      <c r="G46" s="350">
        <v>1.0469999999999999</v>
      </c>
      <c r="H46" s="350">
        <v>1.028</v>
      </c>
      <c r="I46" s="350"/>
      <c r="J46" s="350"/>
      <c r="K46" s="350"/>
      <c r="L46" s="350"/>
      <c r="M46" s="350"/>
      <c r="N46" s="350"/>
      <c r="O46" s="350"/>
      <c r="P46" s="350"/>
      <c r="Q46" s="350"/>
    </row>
    <row r="47" spans="1:17" ht="12" customHeight="1">
      <c r="A47" s="181">
        <f t="shared" si="1"/>
        <v>2017</v>
      </c>
      <c r="B47" s="350"/>
      <c r="C47" s="350"/>
      <c r="D47" s="350"/>
      <c r="E47" s="350">
        <v>1.101</v>
      </c>
      <c r="F47" s="350">
        <v>1.0680000000000001</v>
      </c>
      <c r="G47" s="350">
        <v>1.042</v>
      </c>
      <c r="H47" s="350"/>
      <c r="I47" s="350"/>
      <c r="J47" s="350"/>
      <c r="K47" s="350"/>
      <c r="L47" s="350"/>
      <c r="M47" s="350"/>
      <c r="N47" s="350"/>
      <c r="O47" s="350"/>
      <c r="P47" s="350"/>
      <c r="Q47" s="350"/>
    </row>
    <row r="48" spans="1:17" ht="12" customHeight="1">
      <c r="A48" s="181">
        <f t="shared" si="1"/>
        <v>2018</v>
      </c>
      <c r="B48" s="350"/>
      <c r="C48" s="350"/>
      <c r="D48" s="350">
        <v>1.1919999999999999</v>
      </c>
      <c r="E48" s="350">
        <v>1.101</v>
      </c>
      <c r="F48" s="350">
        <v>1.07</v>
      </c>
      <c r="G48" s="350"/>
      <c r="H48" s="350"/>
      <c r="I48" s="350"/>
      <c r="J48" s="350"/>
      <c r="K48" s="350"/>
      <c r="L48" s="350"/>
      <c r="M48" s="350"/>
      <c r="N48" s="350"/>
      <c r="O48" s="350"/>
      <c r="P48" s="350"/>
      <c r="Q48" s="350"/>
    </row>
    <row r="49" spans="1:18" ht="12" customHeight="1">
      <c r="A49" s="181">
        <f t="shared" si="1"/>
        <v>2019</v>
      </c>
      <c r="B49" s="350"/>
      <c r="C49" s="350">
        <v>1.42</v>
      </c>
      <c r="D49" s="350">
        <v>1.2110000000000001</v>
      </c>
      <c r="E49" s="350">
        <v>1.1200000000000001</v>
      </c>
      <c r="F49" s="350"/>
      <c r="G49" s="350"/>
      <c r="H49" s="350"/>
      <c r="I49" s="350"/>
      <c r="J49" s="350"/>
      <c r="K49" s="350"/>
      <c r="L49" s="350"/>
      <c r="M49" s="350"/>
      <c r="N49" s="350"/>
      <c r="O49" s="350"/>
      <c r="P49" s="350"/>
      <c r="Q49" s="350"/>
      <c r="R49" s="54"/>
    </row>
    <row r="50" spans="1:18" ht="12" customHeight="1">
      <c r="A50" s="181">
        <f t="shared" si="1"/>
        <v>2020</v>
      </c>
      <c r="B50" s="350">
        <v>2.468</v>
      </c>
      <c r="C50" s="350">
        <v>1.4359999999999999</v>
      </c>
      <c r="D50" s="350">
        <v>1.224</v>
      </c>
      <c r="E50" s="350"/>
      <c r="F50" s="350"/>
      <c r="G50" s="350"/>
      <c r="H50" s="350"/>
      <c r="I50" s="350"/>
      <c r="J50" s="350"/>
      <c r="K50" s="350"/>
      <c r="L50" s="350"/>
      <c r="M50" s="350"/>
      <c r="N50" s="350"/>
      <c r="O50" s="350"/>
      <c r="P50" s="350"/>
      <c r="Q50" s="350"/>
      <c r="R50" s="54"/>
    </row>
    <row r="51" spans="1:18" ht="12" customHeight="1">
      <c r="A51" s="181">
        <f t="shared" si="1"/>
        <v>2021</v>
      </c>
      <c r="B51" s="350">
        <v>2.4900000000000002</v>
      </c>
      <c r="C51" s="350">
        <v>1.45</v>
      </c>
      <c r="D51" s="350"/>
      <c r="E51" s="350"/>
      <c r="F51" s="350"/>
      <c r="G51" s="350"/>
      <c r="H51" s="350"/>
      <c r="I51" s="350"/>
      <c r="J51" s="350"/>
      <c r="K51" s="350"/>
      <c r="L51" s="350"/>
      <c r="M51" s="350"/>
      <c r="N51" s="350"/>
      <c r="O51" s="350"/>
      <c r="P51" s="350"/>
      <c r="Q51" s="350"/>
      <c r="R51" s="54"/>
    </row>
    <row r="52" spans="1:18" ht="12" customHeight="1">
      <c r="A52" s="1">
        <f t="shared" ref="A52" si="2">+A31</f>
        <v>2022</v>
      </c>
      <c r="B52" s="350">
        <v>2.6179999999999999</v>
      </c>
      <c r="C52" s="350"/>
      <c r="D52" s="350"/>
      <c r="E52" s="350"/>
      <c r="F52" s="350"/>
      <c r="G52" s="350"/>
      <c r="H52" s="350"/>
      <c r="I52" s="350"/>
      <c r="J52" s="350"/>
      <c r="K52" s="350"/>
      <c r="L52" s="350"/>
      <c r="M52" s="350"/>
      <c r="N52" s="350"/>
      <c r="O52" s="350"/>
      <c r="P52" s="350"/>
      <c r="Q52" s="350"/>
      <c r="R52" s="54"/>
    </row>
    <row r="53" spans="1:18">
      <c r="A53" s="1"/>
      <c r="B53" s="1"/>
      <c r="C53" s="9"/>
      <c r="D53" s="9"/>
      <c r="E53" s="9"/>
      <c r="F53" s="9"/>
      <c r="G53" s="9"/>
      <c r="H53" s="9"/>
      <c r="I53" s="10"/>
      <c r="J53" s="10"/>
      <c r="K53" s="10"/>
      <c r="L53" s="10"/>
      <c r="M53" s="10"/>
      <c r="N53" s="10"/>
      <c r="O53" s="10"/>
      <c r="P53" s="10"/>
      <c r="Q53" s="54"/>
      <c r="R53" s="54"/>
    </row>
    <row r="54" spans="1:18">
      <c r="A54" s="1" t="s">
        <v>33</v>
      </c>
      <c r="B54" s="351">
        <f ca="1">OFFSET(B$53,-COUNTA($B$34:B$34),0)</f>
        <v>2.6179999999999999</v>
      </c>
      <c r="C54" s="351">
        <f ca="1">OFFSET(C$53,-COUNTA($B$34:C$34),0)</f>
        <v>1.45</v>
      </c>
      <c r="D54" s="351">
        <f ca="1">OFFSET(D$53,-COUNTA($B$34:D$34),0)</f>
        <v>1.224</v>
      </c>
      <c r="E54" s="351">
        <f ca="1">OFFSET(E$53,-COUNTA($B$34:E$34),0)</f>
        <v>1.1200000000000001</v>
      </c>
      <c r="F54" s="351">
        <f ca="1">OFFSET(F$53,-COUNTA($B$34:F$34),0)</f>
        <v>1.07</v>
      </c>
      <c r="G54" s="351">
        <f ca="1">OFFSET(G$53,-COUNTA($B$34:G$34),0)</f>
        <v>1.042</v>
      </c>
      <c r="H54" s="351">
        <f ca="1">OFFSET(H$53,-COUNTA($B$34:H$34),0)</f>
        <v>1.028</v>
      </c>
      <c r="I54" s="351">
        <f ca="1">OFFSET(I$53,-COUNTA($B$34:I$34),0)</f>
        <v>1.022</v>
      </c>
      <c r="J54" s="351">
        <f ca="1">AVERAGE(OFFSET(J$51:J$53,-COUNTA($B$34:J$34),0))</f>
        <v>1.0176666666666667</v>
      </c>
      <c r="K54" s="351">
        <f ca="1">AVERAGE(OFFSET(K$51:K$53,-COUNTA($B$34:K$34),0))</f>
        <v>1.0146666666666666</v>
      </c>
      <c r="L54" s="351">
        <f ca="1">AVERAGE(OFFSET(L$51:L$53,-COUNTA($B$34:L$34),0))</f>
        <v>1.0129999999999999</v>
      </c>
      <c r="M54" s="351">
        <f ca="1">AVERAGE(OFFSET(M$51:M$53,-COUNTA($B$34:M$34),0))</f>
        <v>1.0113333333333332</v>
      </c>
      <c r="N54" s="351">
        <f ca="1">AVERAGE(OFFSET(N$51:N$53,-COUNTA($B$34:N$34),0))</f>
        <v>1.0096666666666667</v>
      </c>
      <c r="O54" s="351">
        <f ca="1">AVERAGE(OFFSET(O$51:O$53,-COUNTA($B$34:O$34),0))</f>
        <v>1.0103333333333333</v>
      </c>
      <c r="P54" s="351">
        <f ca="1">AVERAGE(OFFSET(P$51:P$53,-COUNTA($B$34:P$34),0))</f>
        <v>1.0086666666666666</v>
      </c>
      <c r="Q54" s="351">
        <f ca="1">AVERAGE(OFFSET(Q$51:Q$53,-COUNTA($B$34:Q$34),0))</f>
        <v>1.008</v>
      </c>
      <c r="R54" s="54"/>
    </row>
    <row r="55" spans="1:18">
      <c r="A55" s="181" t="s">
        <v>21</v>
      </c>
      <c r="B55" s="351">
        <f ca="1">C55*B54</f>
        <v>7.7658953251457783</v>
      </c>
      <c r="C55" s="351">
        <f t="shared" ref="C55:P55" ca="1" si="3">D55*C54</f>
        <v>2.9663465718662256</v>
      </c>
      <c r="D55" s="351">
        <f t="shared" ca="1" si="3"/>
        <v>2.045756256459466</v>
      </c>
      <c r="E55" s="351">
        <f t="shared" ca="1" si="3"/>
        <v>1.6713694905714591</v>
      </c>
      <c r="F55" s="351">
        <f t="shared" ca="1" si="3"/>
        <v>1.4922941880102312</v>
      </c>
      <c r="G55" s="351">
        <f t="shared" ca="1" si="3"/>
        <v>1.3946674654301225</v>
      </c>
      <c r="H55" s="351">
        <f t="shared" ca="1" si="3"/>
        <v>1.3384524620250695</v>
      </c>
      <c r="I55" s="351">
        <f t="shared" ca="1" si="3"/>
        <v>1.3019965583901454</v>
      </c>
      <c r="J55" s="351">
        <f t="shared" ca="1" si="3"/>
        <v>1.2739692352154064</v>
      </c>
      <c r="K55" s="351">
        <f t="shared" ca="1" si="3"/>
        <v>1.2518531626748179</v>
      </c>
      <c r="L55" s="351">
        <f t="shared" ca="1" si="3"/>
        <v>1.2337580446860887</v>
      </c>
      <c r="M55" s="351">
        <f t="shared" ca="1" si="3"/>
        <v>1.2179250194334539</v>
      </c>
      <c r="N55" s="351">
        <f t="shared" ca="1" si="3"/>
        <v>1.2042765518458676</v>
      </c>
      <c r="O55" s="351">
        <f t="shared" ca="1" si="3"/>
        <v>1.1927466673943885</v>
      </c>
      <c r="P55" s="351">
        <f t="shared" ca="1" si="3"/>
        <v>1.180547674755251</v>
      </c>
      <c r="Q55" s="351">
        <f ca="1">'Exhibit 2.4.2'!B58*Q54</f>
        <v>1.1704041719318419</v>
      </c>
      <c r="R55" s="54"/>
    </row>
    <row r="56" spans="1:18">
      <c r="A56" s="171"/>
      <c r="B56" s="9"/>
      <c r="C56" s="9"/>
      <c r="D56" s="9"/>
      <c r="E56" s="9"/>
      <c r="F56" s="9"/>
      <c r="G56" s="9"/>
      <c r="H56" s="9"/>
      <c r="I56" s="9"/>
      <c r="J56" s="9"/>
      <c r="K56" s="9"/>
      <c r="L56" s="9"/>
      <c r="M56" s="9"/>
      <c r="N56" s="9"/>
      <c r="O56" s="9"/>
      <c r="P56" s="9"/>
      <c r="Q56" s="9"/>
      <c r="R56" s="54"/>
    </row>
    <row r="57" spans="1:18" ht="12.75" customHeight="1">
      <c r="A57" s="5" t="s">
        <v>356</v>
      </c>
      <c r="B57" s="152" t="s">
        <v>229</v>
      </c>
      <c r="C57" s="96"/>
      <c r="D57" s="96"/>
      <c r="E57" s="96"/>
      <c r="F57" s="96"/>
      <c r="G57" s="96"/>
      <c r="H57" s="96"/>
      <c r="I57" s="96"/>
      <c r="J57" s="96"/>
      <c r="K57" s="96"/>
      <c r="L57" s="96"/>
      <c r="M57" s="96"/>
      <c r="N57" s="96"/>
      <c r="O57" s="96"/>
      <c r="P57" s="96"/>
    </row>
    <row r="58" spans="1:18" ht="12.75" customHeight="1">
      <c r="A58" s="5" t="s">
        <v>357</v>
      </c>
      <c r="B58" s="74" t="s">
        <v>415</v>
      </c>
      <c r="C58" s="149"/>
      <c r="D58" s="149"/>
      <c r="E58" s="149"/>
      <c r="F58" s="149"/>
      <c r="G58" s="149"/>
      <c r="H58" s="149"/>
      <c r="I58" s="149"/>
      <c r="J58" s="149"/>
      <c r="K58" s="149"/>
      <c r="L58" s="149"/>
      <c r="M58" s="149"/>
      <c r="N58" s="149"/>
      <c r="O58" s="149"/>
      <c r="P58" s="149"/>
    </row>
    <row r="59" spans="1:18" ht="12.75" customHeight="1">
      <c r="A59" s="5"/>
      <c r="B59" s="74" t="s">
        <v>416</v>
      </c>
      <c r="C59" s="149"/>
      <c r="D59" s="149"/>
      <c r="E59" s="149"/>
      <c r="F59" s="149"/>
      <c r="G59" s="149"/>
      <c r="H59" s="149"/>
      <c r="I59" s="149"/>
      <c r="J59" s="149"/>
      <c r="K59" s="149"/>
      <c r="L59" s="149"/>
      <c r="M59" s="149"/>
      <c r="N59" s="149"/>
      <c r="O59" s="149"/>
      <c r="P59" s="149"/>
    </row>
    <row r="60" spans="1:18" ht="12.75" customHeight="1">
      <c r="A60" s="5" t="s">
        <v>320</v>
      </c>
      <c r="B60" s="74" t="s">
        <v>413</v>
      </c>
      <c r="C60" s="151"/>
      <c r="D60" s="151"/>
      <c r="E60" s="151"/>
      <c r="F60" s="151"/>
      <c r="G60" s="151"/>
      <c r="H60" s="151"/>
      <c r="I60" s="151"/>
      <c r="J60" s="151"/>
      <c r="K60" s="151"/>
      <c r="L60" s="151"/>
      <c r="M60" s="151"/>
      <c r="N60" s="151"/>
      <c r="O60" s="151"/>
      <c r="P60" s="151"/>
    </row>
    <row r="61" spans="1:18" ht="12.75" customHeight="1">
      <c r="A61" s="5"/>
      <c r="B61" s="25"/>
      <c r="C61" s="25"/>
      <c r="D61" s="25"/>
      <c r="E61" s="25"/>
      <c r="F61" s="25"/>
      <c r="G61" s="25"/>
      <c r="H61" s="25"/>
      <c r="I61" s="25"/>
      <c r="J61" s="25"/>
      <c r="K61" s="25"/>
      <c r="L61" s="25"/>
      <c r="M61" s="25"/>
      <c r="N61" s="25"/>
      <c r="O61" s="25"/>
      <c r="P61" s="25"/>
    </row>
  </sheetData>
  <printOptions horizontalCentered="1"/>
  <pageMargins left="0.7" right="0.7" top="0.75" bottom="0.75" header="0.3" footer="0.3"/>
  <pageSetup scale="68" orientation="landscape" blackAndWhite="1"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X63"/>
  <sheetViews>
    <sheetView zoomScaleNormal="100" zoomScaleSheetLayoutView="100" workbookViewId="0"/>
  </sheetViews>
  <sheetFormatPr defaultColWidth="9.140625" defaultRowHeight="12.75"/>
  <cols>
    <col min="1" max="1" width="12.85546875" style="77" customWidth="1"/>
    <col min="2" max="17" width="7.85546875" style="77" customWidth="1"/>
    <col min="18" max="18" width="7.85546875" style="108" customWidth="1"/>
    <col min="19" max="19" width="7.85546875" style="182" customWidth="1"/>
    <col min="20" max="22" width="7.85546875" style="199" customWidth="1"/>
    <col min="23" max="23" width="7.85546875" style="140" customWidth="1"/>
    <col min="24" max="24" width="13.140625" style="77" customWidth="1"/>
    <col min="25" max="16384" width="9.140625" style="77"/>
  </cols>
  <sheetData>
    <row r="1" spans="1:24" ht="15" customHeight="1">
      <c r="A1" s="189" t="s">
        <v>35</v>
      </c>
      <c r="B1" s="189"/>
      <c r="C1" s="189"/>
      <c r="D1" s="189"/>
      <c r="E1" s="189"/>
      <c r="F1" s="189"/>
      <c r="G1" s="189"/>
      <c r="H1" s="189"/>
      <c r="I1" s="189"/>
      <c r="J1" s="189"/>
      <c r="K1" s="189"/>
      <c r="L1" s="189"/>
      <c r="M1" s="189"/>
      <c r="N1" s="189"/>
      <c r="O1" s="189"/>
      <c r="P1" s="189"/>
      <c r="Q1" s="189"/>
      <c r="R1" s="189"/>
      <c r="S1" s="189"/>
      <c r="T1" s="189"/>
      <c r="U1" s="189"/>
      <c r="V1" s="189"/>
      <c r="W1" s="189"/>
      <c r="X1" s="293"/>
    </row>
    <row r="2" spans="1:24">
      <c r="A2" s="283"/>
      <c r="B2" s="283"/>
      <c r="C2" s="283"/>
      <c r="D2" s="283"/>
      <c r="E2" s="283"/>
      <c r="F2" s="283"/>
      <c r="G2" s="283"/>
      <c r="H2" s="283"/>
      <c r="I2" s="283"/>
      <c r="J2" s="283"/>
      <c r="K2" s="283"/>
      <c r="L2" s="283"/>
      <c r="M2" s="283"/>
      <c r="N2" s="283"/>
      <c r="O2" s="283"/>
      <c r="P2" s="283"/>
      <c r="Q2" s="283"/>
      <c r="R2" s="283"/>
      <c r="S2" s="283"/>
      <c r="T2" s="283"/>
      <c r="U2" s="325"/>
      <c r="V2" s="334"/>
      <c r="W2" s="283"/>
      <c r="X2" s="283"/>
    </row>
    <row r="3" spans="1:24" ht="15">
      <c r="A3" s="181" t="s">
        <v>50</v>
      </c>
      <c r="B3" s="190" t="s">
        <v>18</v>
      </c>
      <c r="C3" s="190"/>
      <c r="D3" s="190"/>
      <c r="E3" s="190"/>
      <c r="F3" s="190"/>
      <c r="G3" s="190"/>
      <c r="H3" s="190"/>
      <c r="I3" s="190"/>
      <c r="J3" s="190"/>
      <c r="K3" s="190"/>
      <c r="L3" s="190"/>
      <c r="M3" s="190"/>
      <c r="N3" s="190"/>
      <c r="O3" s="190"/>
      <c r="P3" s="190"/>
      <c r="Q3" s="190"/>
      <c r="R3" s="190"/>
      <c r="S3" s="190"/>
      <c r="T3" s="190"/>
      <c r="U3" s="190"/>
      <c r="V3" s="190"/>
      <c r="W3" s="190"/>
      <c r="X3" s="294"/>
    </row>
    <row r="4" spans="1:24">
      <c r="A4" s="184" t="s">
        <v>19</v>
      </c>
      <c r="B4" s="184" t="str">
        <f>LEFT('Exhibit 2.4.1'!Q4,3)+12&amp;"/"&amp;RIGHT('Exhibit 2.4.1'!Q4,3)+12</f>
        <v>216/204</v>
      </c>
      <c r="C4" s="184" t="str">
        <f>LEFT(B4,3)+12&amp;"/"&amp;RIGHT(B4,3)+12</f>
        <v>228/216</v>
      </c>
      <c r="D4" s="184" t="str">
        <f t="shared" ref="D4:R4" si="0">LEFT(C4,3)+12&amp;"/"&amp;RIGHT(C4,3)+12</f>
        <v>240/228</v>
      </c>
      <c r="E4" s="184" t="str">
        <f t="shared" si="0"/>
        <v>252/240</v>
      </c>
      <c r="F4" s="184" t="str">
        <f t="shared" si="0"/>
        <v>264/252</v>
      </c>
      <c r="G4" s="184" t="str">
        <f t="shared" si="0"/>
        <v>276/264</v>
      </c>
      <c r="H4" s="184" t="str">
        <f t="shared" si="0"/>
        <v>288/276</v>
      </c>
      <c r="I4" s="184" t="str">
        <f t="shared" si="0"/>
        <v>300/288</v>
      </c>
      <c r="J4" s="184" t="str">
        <f t="shared" si="0"/>
        <v>312/300</v>
      </c>
      <c r="K4" s="184" t="str">
        <f t="shared" si="0"/>
        <v>324/312</v>
      </c>
      <c r="L4" s="184" t="str">
        <f t="shared" si="0"/>
        <v>336/324</v>
      </c>
      <c r="M4" s="184" t="str">
        <f t="shared" si="0"/>
        <v>348/336</v>
      </c>
      <c r="N4" s="184" t="str">
        <f t="shared" si="0"/>
        <v>360/348</v>
      </c>
      <c r="O4" s="184" t="str">
        <f t="shared" si="0"/>
        <v>372/360</v>
      </c>
      <c r="P4" s="184" t="str">
        <f t="shared" si="0"/>
        <v>384/372</v>
      </c>
      <c r="Q4" s="184" t="str">
        <f t="shared" si="0"/>
        <v>396/384</v>
      </c>
      <c r="R4" s="184" t="str">
        <f t="shared" si="0"/>
        <v>408/396</v>
      </c>
      <c r="S4" s="184" t="str">
        <f t="shared" ref="S4" si="1">LEFT(R4,3)+12&amp;"/"&amp;RIGHT(R4,3)+12</f>
        <v>420/408</v>
      </c>
      <c r="T4" s="184" t="str">
        <f t="shared" ref="T4" si="2">LEFT(S4,3)+12&amp;"/"&amp;RIGHT(S4,3)+12</f>
        <v>432/420</v>
      </c>
      <c r="U4" s="184" t="str">
        <f t="shared" ref="U4" si="3">LEFT(T4,3)+12&amp;"/"&amp;RIGHT(T4,3)+12</f>
        <v>444/432</v>
      </c>
      <c r="V4" s="184" t="str">
        <f t="shared" ref="V4" si="4">LEFT(U4,3)+12&amp;"/"&amp;RIGHT(U4,3)+12</f>
        <v>456/444</v>
      </c>
      <c r="W4" s="184" t="str">
        <f t="shared" ref="W4" si="5">LEFT(V4,3)+12&amp;"/"&amp;RIGHT(V4,3)+12</f>
        <v>468/456</v>
      </c>
      <c r="X4" s="184" t="str">
        <f>"ULT/"&amp;LEFT(W4,3)&amp;"Pd (d)"</f>
        <v>ULT/468Pd (d)</v>
      </c>
    </row>
    <row r="5" spans="1:24">
      <c r="A5" s="181">
        <f t="shared" ref="A5:A27" si="6">+A6-1</f>
        <v>1983</v>
      </c>
      <c r="B5" s="350" t="s">
        <v>31</v>
      </c>
      <c r="C5" s="350" t="s">
        <v>31</v>
      </c>
      <c r="D5" s="350" t="s">
        <v>31</v>
      </c>
      <c r="E5" s="350" t="s">
        <v>31</v>
      </c>
      <c r="F5" s="350" t="s">
        <v>31</v>
      </c>
      <c r="G5" s="350" t="s">
        <v>31</v>
      </c>
      <c r="H5" s="350" t="s">
        <v>31</v>
      </c>
      <c r="I5" s="350" t="s">
        <v>31</v>
      </c>
      <c r="J5" s="350" t="s">
        <v>31</v>
      </c>
      <c r="K5" s="350" t="s">
        <v>31</v>
      </c>
      <c r="L5" s="350">
        <v>1.004</v>
      </c>
      <c r="M5" s="350">
        <v>1.004</v>
      </c>
      <c r="N5" s="350">
        <v>1.0029999999999999</v>
      </c>
      <c r="O5" s="350">
        <v>1.004</v>
      </c>
      <c r="P5" s="350">
        <v>1.0029999999999999</v>
      </c>
      <c r="Q5" s="350">
        <v>1.002</v>
      </c>
      <c r="R5" s="350">
        <v>1.004</v>
      </c>
      <c r="S5" s="350">
        <v>1.0029999999999999</v>
      </c>
      <c r="T5" s="350">
        <v>1.0029999999999999</v>
      </c>
      <c r="U5" s="350">
        <v>1.002</v>
      </c>
      <c r="V5" s="350">
        <v>1.002</v>
      </c>
      <c r="W5" s="350">
        <v>1.002</v>
      </c>
      <c r="X5" s="183"/>
    </row>
    <row r="6" spans="1:24" s="199" customFormat="1">
      <c r="A6" s="181">
        <f t="shared" si="6"/>
        <v>1984</v>
      </c>
      <c r="B6" s="350" t="s">
        <v>31</v>
      </c>
      <c r="C6" s="350" t="s">
        <v>31</v>
      </c>
      <c r="D6" s="350" t="s">
        <v>31</v>
      </c>
      <c r="E6" s="350" t="s">
        <v>31</v>
      </c>
      <c r="F6" s="350" t="s">
        <v>31</v>
      </c>
      <c r="G6" s="350" t="s">
        <v>31</v>
      </c>
      <c r="H6" s="350" t="s">
        <v>31</v>
      </c>
      <c r="I6" s="350" t="s">
        <v>31</v>
      </c>
      <c r="J6" s="350" t="s">
        <v>31</v>
      </c>
      <c r="K6" s="350">
        <v>1.0029999999999999</v>
      </c>
      <c r="L6" s="350">
        <v>1.004</v>
      </c>
      <c r="M6" s="350">
        <v>1.004</v>
      </c>
      <c r="N6" s="350">
        <v>1.0029999999999999</v>
      </c>
      <c r="O6" s="350">
        <v>1.0029999999999999</v>
      </c>
      <c r="P6" s="350">
        <v>1.002</v>
      </c>
      <c r="Q6" s="350">
        <v>1.002</v>
      </c>
      <c r="R6" s="350">
        <v>1.002</v>
      </c>
      <c r="S6" s="350">
        <v>1.002</v>
      </c>
      <c r="T6" s="350">
        <v>1.002</v>
      </c>
      <c r="U6" s="350">
        <v>1.0009999999999999</v>
      </c>
      <c r="V6" s="350">
        <v>1.0009999999999999</v>
      </c>
      <c r="W6" s="350">
        <v>1.0009999999999999</v>
      </c>
      <c r="X6" s="183"/>
    </row>
    <row r="7" spans="1:24" s="199" customFormat="1">
      <c r="A7" s="181">
        <f t="shared" si="6"/>
        <v>1985</v>
      </c>
      <c r="B7" s="350" t="s">
        <v>31</v>
      </c>
      <c r="C7" s="350" t="s">
        <v>31</v>
      </c>
      <c r="D7" s="350" t="s">
        <v>31</v>
      </c>
      <c r="E7" s="350" t="s">
        <v>31</v>
      </c>
      <c r="F7" s="350" t="s">
        <v>31</v>
      </c>
      <c r="G7" s="350" t="s">
        <v>31</v>
      </c>
      <c r="H7" s="350" t="s">
        <v>31</v>
      </c>
      <c r="I7" s="350" t="s">
        <v>31</v>
      </c>
      <c r="J7" s="350">
        <v>1.0029999999999999</v>
      </c>
      <c r="K7" s="350">
        <v>1.004</v>
      </c>
      <c r="L7" s="350">
        <v>1.004</v>
      </c>
      <c r="M7" s="350">
        <v>1.004</v>
      </c>
      <c r="N7" s="350">
        <v>1.0029999999999999</v>
      </c>
      <c r="O7" s="350">
        <v>1.002</v>
      </c>
      <c r="P7" s="350">
        <v>1.0029999999999999</v>
      </c>
      <c r="Q7" s="350">
        <v>1.002</v>
      </c>
      <c r="R7" s="350">
        <v>1.002</v>
      </c>
      <c r="S7" s="350">
        <v>1.002</v>
      </c>
      <c r="T7" s="350">
        <v>1.002</v>
      </c>
      <c r="U7" s="350">
        <v>1.0009999999999999</v>
      </c>
      <c r="V7" s="350">
        <v>1.002</v>
      </c>
      <c r="W7" s="350">
        <v>1.002</v>
      </c>
      <c r="X7" s="183"/>
    </row>
    <row r="8" spans="1:24" s="182" customFormat="1">
      <c r="A8" s="181">
        <f t="shared" si="6"/>
        <v>1986</v>
      </c>
      <c r="B8" s="350" t="s">
        <v>31</v>
      </c>
      <c r="C8" s="350" t="s">
        <v>31</v>
      </c>
      <c r="D8" s="350" t="s">
        <v>31</v>
      </c>
      <c r="E8" s="350" t="s">
        <v>31</v>
      </c>
      <c r="F8" s="350" t="s">
        <v>31</v>
      </c>
      <c r="G8" s="350" t="s">
        <v>31</v>
      </c>
      <c r="H8" s="350" t="s">
        <v>31</v>
      </c>
      <c r="I8" s="350">
        <v>1.0049999999999999</v>
      </c>
      <c r="J8" s="350">
        <v>1.0049999999999999</v>
      </c>
      <c r="K8" s="350">
        <v>1.0049999999999999</v>
      </c>
      <c r="L8" s="350">
        <v>1.0049999999999999</v>
      </c>
      <c r="M8" s="350">
        <v>1.0049999999999999</v>
      </c>
      <c r="N8" s="350">
        <v>1.004</v>
      </c>
      <c r="O8" s="350">
        <v>1.006</v>
      </c>
      <c r="P8" s="350">
        <v>1.004</v>
      </c>
      <c r="Q8" s="350">
        <v>1.004</v>
      </c>
      <c r="R8" s="350">
        <v>1.0029999999999999</v>
      </c>
      <c r="S8" s="350">
        <v>1.0029999999999999</v>
      </c>
      <c r="T8" s="350">
        <v>1.0009999999999999</v>
      </c>
      <c r="U8" s="350">
        <v>1.002</v>
      </c>
      <c r="V8" s="350">
        <v>1.002</v>
      </c>
      <c r="W8" s="350" t="s">
        <v>31</v>
      </c>
      <c r="X8" s="183"/>
    </row>
    <row r="9" spans="1:24" s="145" customFormat="1">
      <c r="A9" s="181">
        <f t="shared" si="6"/>
        <v>1987</v>
      </c>
      <c r="B9" s="350" t="s">
        <v>31</v>
      </c>
      <c r="C9" s="350" t="s">
        <v>31</v>
      </c>
      <c r="D9" s="350" t="s">
        <v>31</v>
      </c>
      <c r="E9" s="350" t="s">
        <v>31</v>
      </c>
      <c r="F9" s="350" t="s">
        <v>31</v>
      </c>
      <c r="G9" s="350" t="s">
        <v>31</v>
      </c>
      <c r="H9" s="350">
        <v>1.0049999999999999</v>
      </c>
      <c r="I9" s="350">
        <v>1.0049999999999999</v>
      </c>
      <c r="J9" s="350">
        <v>1.0049999999999999</v>
      </c>
      <c r="K9" s="350">
        <v>1.0049999999999999</v>
      </c>
      <c r="L9" s="350">
        <v>1.0049999999999999</v>
      </c>
      <c r="M9" s="350">
        <v>1.0029999999999999</v>
      </c>
      <c r="N9" s="350">
        <v>1.0029999999999999</v>
      </c>
      <c r="O9" s="350">
        <v>1.0029999999999999</v>
      </c>
      <c r="P9" s="350">
        <v>1.0029999999999999</v>
      </c>
      <c r="Q9" s="350">
        <v>1.002</v>
      </c>
      <c r="R9" s="350">
        <v>1.002</v>
      </c>
      <c r="S9" s="350">
        <v>1.0029999999999999</v>
      </c>
      <c r="T9" s="350">
        <v>1.002</v>
      </c>
      <c r="U9" s="350">
        <v>1.002</v>
      </c>
      <c r="V9" s="350" t="s">
        <v>31</v>
      </c>
      <c r="W9" s="350" t="s">
        <v>31</v>
      </c>
      <c r="X9" s="183"/>
    </row>
    <row r="10" spans="1:24">
      <c r="A10" s="181">
        <f t="shared" si="6"/>
        <v>1988</v>
      </c>
      <c r="B10" s="350" t="s">
        <v>31</v>
      </c>
      <c r="C10" s="350" t="s">
        <v>31</v>
      </c>
      <c r="D10" s="350" t="s">
        <v>31</v>
      </c>
      <c r="E10" s="350" t="s">
        <v>31</v>
      </c>
      <c r="F10" s="350" t="s">
        <v>31</v>
      </c>
      <c r="G10" s="350">
        <v>1.0049999999999999</v>
      </c>
      <c r="H10" s="350">
        <v>1.006</v>
      </c>
      <c r="I10" s="350">
        <v>1.0049999999999999</v>
      </c>
      <c r="J10" s="350">
        <v>1.0049999999999999</v>
      </c>
      <c r="K10" s="350">
        <v>1.004</v>
      </c>
      <c r="L10" s="350">
        <v>1.0029999999999999</v>
      </c>
      <c r="M10" s="350">
        <v>1.0029999999999999</v>
      </c>
      <c r="N10" s="350">
        <v>1.0029999999999999</v>
      </c>
      <c r="O10" s="350">
        <v>1.004</v>
      </c>
      <c r="P10" s="350">
        <v>1.0029999999999999</v>
      </c>
      <c r="Q10" s="350">
        <v>1.002</v>
      </c>
      <c r="R10" s="350">
        <v>1.0029999999999999</v>
      </c>
      <c r="S10" s="350">
        <v>1.002</v>
      </c>
      <c r="T10" s="350">
        <v>1.002</v>
      </c>
      <c r="U10" s="350" t="s">
        <v>31</v>
      </c>
      <c r="V10" s="350" t="s">
        <v>31</v>
      </c>
      <c r="W10" s="350" t="s">
        <v>31</v>
      </c>
      <c r="X10" s="183"/>
    </row>
    <row r="11" spans="1:24">
      <c r="A11" s="181">
        <f t="shared" si="6"/>
        <v>1989</v>
      </c>
      <c r="B11" s="350" t="s">
        <v>31</v>
      </c>
      <c r="C11" s="350" t="s">
        <v>31</v>
      </c>
      <c r="D11" s="350" t="s">
        <v>31</v>
      </c>
      <c r="E11" s="350" t="s">
        <v>31</v>
      </c>
      <c r="F11" s="350">
        <v>1.006</v>
      </c>
      <c r="G11" s="350">
        <v>1.008</v>
      </c>
      <c r="H11" s="350">
        <v>1.006</v>
      </c>
      <c r="I11" s="350">
        <v>1.0069999999999999</v>
      </c>
      <c r="J11" s="350">
        <v>1.006</v>
      </c>
      <c r="K11" s="350">
        <v>1.0029999999999999</v>
      </c>
      <c r="L11" s="350">
        <v>1.0029999999999999</v>
      </c>
      <c r="M11" s="350">
        <v>1.0029999999999999</v>
      </c>
      <c r="N11" s="350">
        <v>1.0029999999999999</v>
      </c>
      <c r="O11" s="350">
        <v>1.0029999999999999</v>
      </c>
      <c r="P11" s="350">
        <v>1.004</v>
      </c>
      <c r="Q11" s="350">
        <v>1.002</v>
      </c>
      <c r="R11" s="350">
        <v>1.002</v>
      </c>
      <c r="S11" s="350">
        <v>1.002</v>
      </c>
      <c r="T11" s="350" t="s">
        <v>31</v>
      </c>
      <c r="U11" s="350" t="s">
        <v>31</v>
      </c>
      <c r="V11" s="350" t="s">
        <v>31</v>
      </c>
      <c r="W11" s="350" t="s">
        <v>31</v>
      </c>
      <c r="X11" s="183"/>
    </row>
    <row r="12" spans="1:24">
      <c r="A12" s="181">
        <f t="shared" si="6"/>
        <v>1990</v>
      </c>
      <c r="B12" s="350" t="s">
        <v>31</v>
      </c>
      <c r="C12" s="350" t="s">
        <v>31</v>
      </c>
      <c r="D12" s="350" t="s">
        <v>31</v>
      </c>
      <c r="E12" s="350">
        <v>1.0049999999999999</v>
      </c>
      <c r="F12" s="350">
        <v>1.0049999999999999</v>
      </c>
      <c r="G12" s="350">
        <v>1.006</v>
      </c>
      <c r="H12" s="350">
        <v>1.004</v>
      </c>
      <c r="I12" s="350">
        <v>1.004</v>
      </c>
      <c r="J12" s="350">
        <v>1.0029999999999999</v>
      </c>
      <c r="K12" s="350">
        <v>1.002</v>
      </c>
      <c r="L12" s="350">
        <v>1.0029999999999999</v>
      </c>
      <c r="M12" s="350">
        <v>1.002</v>
      </c>
      <c r="N12" s="350">
        <v>1.0029999999999999</v>
      </c>
      <c r="O12" s="350">
        <v>1.002</v>
      </c>
      <c r="P12" s="350">
        <v>1.0029999999999999</v>
      </c>
      <c r="Q12" s="350">
        <v>1.0009999999999999</v>
      </c>
      <c r="R12" s="350">
        <v>1.002</v>
      </c>
      <c r="S12" s="350" t="s">
        <v>31</v>
      </c>
      <c r="T12" s="350" t="s">
        <v>31</v>
      </c>
      <c r="U12" s="350" t="s">
        <v>31</v>
      </c>
      <c r="V12" s="350" t="s">
        <v>31</v>
      </c>
      <c r="W12" s="350" t="s">
        <v>31</v>
      </c>
      <c r="X12" s="183"/>
    </row>
    <row r="13" spans="1:24">
      <c r="A13" s="181">
        <f t="shared" si="6"/>
        <v>1991</v>
      </c>
      <c r="B13" s="350" t="s">
        <v>31</v>
      </c>
      <c r="C13" s="350" t="s">
        <v>31</v>
      </c>
      <c r="D13" s="350">
        <v>1.006</v>
      </c>
      <c r="E13" s="350">
        <v>1.0049999999999999</v>
      </c>
      <c r="F13" s="350">
        <v>1.006</v>
      </c>
      <c r="G13" s="350">
        <v>1.0049999999999999</v>
      </c>
      <c r="H13" s="350">
        <v>1.006</v>
      </c>
      <c r="I13" s="350">
        <v>1.0029999999999999</v>
      </c>
      <c r="J13" s="350">
        <v>1.0029999999999999</v>
      </c>
      <c r="K13" s="350">
        <v>1.0029999999999999</v>
      </c>
      <c r="L13" s="350">
        <v>1.0029999999999999</v>
      </c>
      <c r="M13" s="350">
        <v>1.004</v>
      </c>
      <c r="N13" s="350">
        <v>1.0029999999999999</v>
      </c>
      <c r="O13" s="350">
        <v>1.002</v>
      </c>
      <c r="P13" s="350">
        <v>1.002</v>
      </c>
      <c r="Q13" s="350">
        <v>1.0009999999999999</v>
      </c>
      <c r="R13" s="350" t="s">
        <v>31</v>
      </c>
      <c r="S13" s="350" t="s">
        <v>31</v>
      </c>
      <c r="T13" s="350" t="s">
        <v>31</v>
      </c>
      <c r="U13" s="350" t="s">
        <v>31</v>
      </c>
      <c r="V13" s="350" t="s">
        <v>31</v>
      </c>
      <c r="W13" s="350" t="s">
        <v>31</v>
      </c>
      <c r="X13" s="183"/>
    </row>
    <row r="14" spans="1:24">
      <c r="A14" s="181">
        <f t="shared" si="6"/>
        <v>1992</v>
      </c>
      <c r="B14" s="350" t="s">
        <v>31</v>
      </c>
      <c r="C14" s="350">
        <v>1.0069999999999999</v>
      </c>
      <c r="D14" s="350">
        <v>1.002</v>
      </c>
      <c r="E14" s="350">
        <v>1.006</v>
      </c>
      <c r="F14" s="350">
        <v>1.008</v>
      </c>
      <c r="G14" s="350">
        <v>1.006</v>
      </c>
      <c r="H14" s="350">
        <v>1.0049999999999999</v>
      </c>
      <c r="I14" s="350">
        <v>1.0049999999999999</v>
      </c>
      <c r="J14" s="350">
        <v>1.0049999999999999</v>
      </c>
      <c r="K14" s="350">
        <v>1.004</v>
      </c>
      <c r="L14" s="350">
        <v>1.006</v>
      </c>
      <c r="M14" s="350">
        <v>1.0029999999999999</v>
      </c>
      <c r="N14" s="350">
        <v>1.0029999999999999</v>
      </c>
      <c r="O14" s="350">
        <v>1.002</v>
      </c>
      <c r="P14" s="350">
        <v>1.002</v>
      </c>
      <c r="Q14" s="350" t="s">
        <v>31</v>
      </c>
      <c r="R14" s="350" t="s">
        <v>31</v>
      </c>
      <c r="S14" s="350" t="s">
        <v>31</v>
      </c>
      <c r="T14" s="350" t="s">
        <v>31</v>
      </c>
      <c r="U14" s="350" t="s">
        <v>31</v>
      </c>
      <c r="V14" s="350" t="s">
        <v>31</v>
      </c>
      <c r="W14" s="350" t="s">
        <v>31</v>
      </c>
      <c r="X14" s="183"/>
    </row>
    <row r="15" spans="1:24">
      <c r="A15" s="181">
        <f t="shared" si="6"/>
        <v>1993</v>
      </c>
      <c r="B15" s="350">
        <v>1.0109999999999999</v>
      </c>
      <c r="C15" s="350">
        <v>1.0109999999999999</v>
      </c>
      <c r="D15" s="350">
        <v>1.01</v>
      </c>
      <c r="E15" s="350">
        <v>1.0129999999999999</v>
      </c>
      <c r="F15" s="350">
        <v>1.0109999999999999</v>
      </c>
      <c r="G15" s="350">
        <v>1.0069999999999999</v>
      </c>
      <c r="H15" s="350">
        <v>1.006</v>
      </c>
      <c r="I15" s="350">
        <v>1.006</v>
      </c>
      <c r="J15" s="350">
        <v>1.0049999999999999</v>
      </c>
      <c r="K15" s="350">
        <v>1.008</v>
      </c>
      <c r="L15" s="350">
        <v>1.0029999999999999</v>
      </c>
      <c r="M15" s="350">
        <v>1.002</v>
      </c>
      <c r="N15" s="350">
        <v>1.002</v>
      </c>
      <c r="O15" s="350">
        <v>1.002</v>
      </c>
      <c r="P15" s="350" t="s">
        <v>31</v>
      </c>
      <c r="Q15" s="350" t="s">
        <v>31</v>
      </c>
      <c r="R15" s="350" t="s">
        <v>31</v>
      </c>
      <c r="S15" s="350" t="s">
        <v>31</v>
      </c>
      <c r="T15" s="350" t="s">
        <v>31</v>
      </c>
      <c r="U15" s="350" t="s">
        <v>31</v>
      </c>
      <c r="V15" s="350" t="s">
        <v>31</v>
      </c>
      <c r="W15" s="350" t="s">
        <v>31</v>
      </c>
      <c r="X15" s="283"/>
    </row>
    <row r="16" spans="1:24">
      <c r="A16" s="181">
        <f t="shared" si="6"/>
        <v>1994</v>
      </c>
      <c r="B16" s="350">
        <v>1.0129999999999999</v>
      </c>
      <c r="C16" s="350">
        <v>1.0089999999999999</v>
      </c>
      <c r="D16" s="350">
        <v>1.01</v>
      </c>
      <c r="E16" s="350">
        <v>1.01</v>
      </c>
      <c r="F16" s="350">
        <v>1.0089999999999999</v>
      </c>
      <c r="G16" s="350">
        <v>1.008</v>
      </c>
      <c r="H16" s="350">
        <v>1.0069999999999999</v>
      </c>
      <c r="I16" s="350">
        <v>1.004</v>
      </c>
      <c r="J16" s="350">
        <v>1.004</v>
      </c>
      <c r="K16" s="350">
        <v>1.0049999999999999</v>
      </c>
      <c r="L16" s="350">
        <v>1.004</v>
      </c>
      <c r="M16" s="350">
        <v>1.004</v>
      </c>
      <c r="N16" s="350">
        <v>1.0029999999999999</v>
      </c>
      <c r="O16" s="350" t="s">
        <v>31</v>
      </c>
      <c r="P16" s="350" t="s">
        <v>31</v>
      </c>
      <c r="Q16" s="350" t="s">
        <v>31</v>
      </c>
      <c r="R16" s="350" t="s">
        <v>31</v>
      </c>
      <c r="S16" s="350" t="s">
        <v>31</v>
      </c>
      <c r="T16" s="350" t="s">
        <v>31</v>
      </c>
      <c r="U16" s="350" t="s">
        <v>31</v>
      </c>
      <c r="V16" s="350" t="s">
        <v>31</v>
      </c>
      <c r="W16" s="350" t="s">
        <v>31</v>
      </c>
      <c r="X16" s="283"/>
    </row>
    <row r="17" spans="1:24">
      <c r="A17" s="181">
        <f t="shared" si="6"/>
        <v>1995</v>
      </c>
      <c r="B17" s="350">
        <v>1.0109999999999999</v>
      </c>
      <c r="C17" s="350">
        <v>1.016</v>
      </c>
      <c r="D17" s="350">
        <v>1.0129999999999999</v>
      </c>
      <c r="E17" s="350">
        <v>1.012</v>
      </c>
      <c r="F17" s="350">
        <v>1.0089999999999999</v>
      </c>
      <c r="G17" s="350">
        <v>1.012</v>
      </c>
      <c r="H17" s="350">
        <v>1.0069999999999999</v>
      </c>
      <c r="I17" s="350">
        <v>1.008</v>
      </c>
      <c r="J17" s="350">
        <v>1.0069999999999999</v>
      </c>
      <c r="K17" s="350">
        <v>1.0049999999999999</v>
      </c>
      <c r="L17" s="350">
        <v>1.004</v>
      </c>
      <c r="M17" s="350">
        <v>1.004</v>
      </c>
      <c r="N17" s="350" t="s">
        <v>31</v>
      </c>
      <c r="O17" s="350" t="s">
        <v>31</v>
      </c>
      <c r="P17" s="350" t="s">
        <v>31</v>
      </c>
      <c r="Q17" s="350" t="s">
        <v>31</v>
      </c>
      <c r="R17" s="350" t="s">
        <v>31</v>
      </c>
      <c r="S17" s="350" t="s">
        <v>31</v>
      </c>
      <c r="T17" s="350" t="s">
        <v>31</v>
      </c>
      <c r="U17" s="350" t="s">
        <v>31</v>
      </c>
      <c r="V17" s="350" t="s">
        <v>31</v>
      </c>
      <c r="W17" s="350" t="s">
        <v>31</v>
      </c>
      <c r="X17" s="283"/>
    </row>
    <row r="18" spans="1:24">
      <c r="A18" s="181">
        <f t="shared" si="6"/>
        <v>1996</v>
      </c>
      <c r="B18" s="350">
        <v>1.014</v>
      </c>
      <c r="C18" s="350">
        <v>1.0129999999999999</v>
      </c>
      <c r="D18" s="350">
        <v>1.0109999999999999</v>
      </c>
      <c r="E18" s="350">
        <v>1.0089999999999999</v>
      </c>
      <c r="F18" s="350">
        <v>1.0069999999999999</v>
      </c>
      <c r="G18" s="350">
        <v>1.0089999999999999</v>
      </c>
      <c r="H18" s="350">
        <v>1.008</v>
      </c>
      <c r="I18" s="350">
        <v>1.006</v>
      </c>
      <c r="J18" s="350">
        <v>1.004</v>
      </c>
      <c r="K18" s="350">
        <v>1.0049999999999999</v>
      </c>
      <c r="L18" s="350">
        <v>1.004</v>
      </c>
      <c r="M18" s="350" t="s">
        <v>31</v>
      </c>
      <c r="N18" s="350" t="s">
        <v>31</v>
      </c>
      <c r="O18" s="350" t="s">
        <v>31</v>
      </c>
      <c r="P18" s="350" t="s">
        <v>31</v>
      </c>
      <c r="Q18" s="350" t="s">
        <v>31</v>
      </c>
      <c r="R18" s="350" t="s">
        <v>31</v>
      </c>
      <c r="S18" s="350" t="s">
        <v>31</v>
      </c>
      <c r="T18" s="350" t="s">
        <v>31</v>
      </c>
      <c r="U18" s="350" t="s">
        <v>31</v>
      </c>
      <c r="V18" s="350" t="s">
        <v>31</v>
      </c>
      <c r="W18" s="350" t="s">
        <v>31</v>
      </c>
      <c r="X18" s="283"/>
    </row>
    <row r="19" spans="1:24">
      <c r="A19" s="181">
        <f t="shared" si="6"/>
        <v>1997</v>
      </c>
      <c r="B19" s="350">
        <v>1.014</v>
      </c>
      <c r="C19" s="350">
        <v>1.0109999999999999</v>
      </c>
      <c r="D19" s="350">
        <v>1.006</v>
      </c>
      <c r="E19" s="350">
        <v>1.006</v>
      </c>
      <c r="F19" s="350">
        <v>1.0069999999999999</v>
      </c>
      <c r="G19" s="350">
        <v>1.0069999999999999</v>
      </c>
      <c r="H19" s="350">
        <v>1.006</v>
      </c>
      <c r="I19" s="350">
        <v>1.004</v>
      </c>
      <c r="J19" s="350">
        <v>1.004</v>
      </c>
      <c r="K19" s="350">
        <v>1.004</v>
      </c>
      <c r="L19" s="350" t="s">
        <v>31</v>
      </c>
      <c r="M19" s="350" t="s">
        <v>31</v>
      </c>
      <c r="N19" s="350" t="s">
        <v>31</v>
      </c>
      <c r="O19" s="350" t="s">
        <v>31</v>
      </c>
      <c r="P19" s="350" t="s">
        <v>31</v>
      </c>
      <c r="Q19" s="350" t="s">
        <v>31</v>
      </c>
      <c r="R19" s="350" t="s">
        <v>31</v>
      </c>
      <c r="S19" s="350" t="s">
        <v>31</v>
      </c>
      <c r="T19" s="350" t="s">
        <v>31</v>
      </c>
      <c r="U19" s="350" t="s">
        <v>31</v>
      </c>
      <c r="V19" s="350" t="s">
        <v>31</v>
      </c>
      <c r="W19" s="350" t="s">
        <v>31</v>
      </c>
      <c r="X19" s="283"/>
    </row>
    <row r="20" spans="1:24">
      <c r="A20" s="181">
        <f t="shared" si="6"/>
        <v>1998</v>
      </c>
      <c r="B20" s="350">
        <v>1.0129999999999999</v>
      </c>
      <c r="C20" s="350">
        <v>1.01</v>
      </c>
      <c r="D20" s="350">
        <v>1.0089999999999999</v>
      </c>
      <c r="E20" s="350">
        <v>1.008</v>
      </c>
      <c r="F20" s="350">
        <v>1.0089999999999999</v>
      </c>
      <c r="G20" s="350">
        <v>1.0069999999999999</v>
      </c>
      <c r="H20" s="350">
        <v>1.006</v>
      </c>
      <c r="I20" s="350">
        <v>1.0049999999999999</v>
      </c>
      <c r="J20" s="350">
        <v>1.006</v>
      </c>
      <c r="K20" s="350" t="s">
        <v>31</v>
      </c>
      <c r="L20" s="350" t="s">
        <v>31</v>
      </c>
      <c r="M20" s="350" t="s">
        <v>31</v>
      </c>
      <c r="N20" s="350" t="s">
        <v>31</v>
      </c>
      <c r="O20" s="350" t="s">
        <v>31</v>
      </c>
      <c r="P20" s="350" t="s">
        <v>31</v>
      </c>
      <c r="Q20" s="350" t="s">
        <v>31</v>
      </c>
      <c r="R20" s="350" t="s">
        <v>31</v>
      </c>
      <c r="S20" s="350" t="s">
        <v>31</v>
      </c>
      <c r="T20" s="350" t="s">
        <v>31</v>
      </c>
      <c r="U20" s="350" t="s">
        <v>31</v>
      </c>
      <c r="V20" s="350" t="s">
        <v>31</v>
      </c>
      <c r="W20" s="350" t="s">
        <v>31</v>
      </c>
      <c r="X20" s="283"/>
    </row>
    <row r="21" spans="1:24">
      <c r="A21" s="181">
        <f t="shared" si="6"/>
        <v>1999</v>
      </c>
      <c r="B21" s="350">
        <v>1.012</v>
      </c>
      <c r="C21" s="350">
        <v>1.0089999999999999</v>
      </c>
      <c r="D21" s="350">
        <v>1.0089999999999999</v>
      </c>
      <c r="E21" s="350">
        <v>1.008</v>
      </c>
      <c r="F21" s="350">
        <v>1.006</v>
      </c>
      <c r="G21" s="350">
        <v>1.0049999999999999</v>
      </c>
      <c r="H21" s="350">
        <v>1.004</v>
      </c>
      <c r="I21" s="350">
        <v>1.004</v>
      </c>
      <c r="J21" s="350" t="s">
        <v>31</v>
      </c>
      <c r="K21" s="350" t="s">
        <v>31</v>
      </c>
      <c r="L21" s="350" t="s">
        <v>31</v>
      </c>
      <c r="M21" s="350" t="s">
        <v>31</v>
      </c>
      <c r="N21" s="350" t="s">
        <v>31</v>
      </c>
      <c r="O21" s="350" t="s">
        <v>31</v>
      </c>
      <c r="P21" s="350" t="s">
        <v>31</v>
      </c>
      <c r="Q21" s="350" t="s">
        <v>31</v>
      </c>
      <c r="R21" s="350" t="s">
        <v>31</v>
      </c>
      <c r="S21" s="350" t="s">
        <v>31</v>
      </c>
      <c r="T21" s="350" t="s">
        <v>31</v>
      </c>
      <c r="U21" s="350" t="s">
        <v>31</v>
      </c>
      <c r="V21" s="350" t="s">
        <v>31</v>
      </c>
      <c r="W21" s="350" t="s">
        <v>31</v>
      </c>
      <c r="X21" s="283"/>
    </row>
    <row r="22" spans="1:24">
      <c r="A22" s="181">
        <f t="shared" si="6"/>
        <v>2000</v>
      </c>
      <c r="B22" s="350">
        <v>1.0089999999999999</v>
      </c>
      <c r="C22" s="350">
        <v>1.008</v>
      </c>
      <c r="D22" s="350">
        <v>1.0069999999999999</v>
      </c>
      <c r="E22" s="350">
        <v>1.006</v>
      </c>
      <c r="F22" s="350">
        <v>1.0049999999999999</v>
      </c>
      <c r="G22" s="350">
        <v>1.0029999999999999</v>
      </c>
      <c r="H22" s="350">
        <v>1.004</v>
      </c>
      <c r="I22" s="350" t="s">
        <v>31</v>
      </c>
      <c r="J22" s="350" t="s">
        <v>31</v>
      </c>
      <c r="K22" s="350" t="s">
        <v>31</v>
      </c>
      <c r="L22" s="350" t="s">
        <v>31</v>
      </c>
      <c r="M22" s="350" t="s">
        <v>31</v>
      </c>
      <c r="N22" s="350" t="s">
        <v>31</v>
      </c>
      <c r="O22" s="350" t="s">
        <v>31</v>
      </c>
      <c r="P22" s="350" t="s">
        <v>31</v>
      </c>
      <c r="Q22" s="350" t="s">
        <v>31</v>
      </c>
      <c r="R22" s="350" t="s">
        <v>31</v>
      </c>
      <c r="S22" s="350" t="s">
        <v>31</v>
      </c>
      <c r="T22" s="350" t="s">
        <v>31</v>
      </c>
      <c r="U22" s="350" t="s">
        <v>31</v>
      </c>
      <c r="V22" s="350" t="s">
        <v>31</v>
      </c>
      <c r="W22" s="350" t="s">
        <v>31</v>
      </c>
      <c r="X22" s="283"/>
    </row>
    <row r="23" spans="1:24">
      <c r="A23" s="181">
        <f t="shared" si="6"/>
        <v>2001</v>
      </c>
      <c r="B23" s="350">
        <v>1.01</v>
      </c>
      <c r="C23" s="350">
        <v>1.01</v>
      </c>
      <c r="D23" s="350">
        <v>1.0089999999999999</v>
      </c>
      <c r="E23" s="350">
        <v>1.0049999999999999</v>
      </c>
      <c r="F23" s="350">
        <v>1.004</v>
      </c>
      <c r="G23" s="350">
        <v>1.004</v>
      </c>
      <c r="H23" s="350" t="s">
        <v>31</v>
      </c>
      <c r="I23" s="350" t="s">
        <v>31</v>
      </c>
      <c r="J23" s="350" t="s">
        <v>31</v>
      </c>
      <c r="K23" s="350" t="s">
        <v>31</v>
      </c>
      <c r="L23" s="350" t="s">
        <v>31</v>
      </c>
      <c r="M23" s="350" t="s">
        <v>31</v>
      </c>
      <c r="N23" s="350" t="s">
        <v>31</v>
      </c>
      <c r="O23" s="350" t="s">
        <v>31</v>
      </c>
      <c r="P23" s="350" t="s">
        <v>31</v>
      </c>
      <c r="Q23" s="350" t="s">
        <v>31</v>
      </c>
      <c r="R23" s="350" t="s">
        <v>31</v>
      </c>
      <c r="S23" s="350" t="s">
        <v>31</v>
      </c>
      <c r="T23" s="350" t="s">
        <v>31</v>
      </c>
      <c r="U23" s="350" t="s">
        <v>31</v>
      </c>
      <c r="V23" s="350" t="s">
        <v>31</v>
      </c>
      <c r="W23" s="350" t="s">
        <v>31</v>
      </c>
      <c r="X23" s="283"/>
    </row>
    <row r="24" spans="1:24">
      <c r="A24" s="181">
        <f t="shared" si="6"/>
        <v>2002</v>
      </c>
      <c r="B24" s="350">
        <v>1.0089999999999999</v>
      </c>
      <c r="C24" s="350">
        <v>1.008</v>
      </c>
      <c r="D24" s="350">
        <v>1.006</v>
      </c>
      <c r="E24" s="350">
        <v>1.004</v>
      </c>
      <c r="F24" s="350">
        <v>1.004</v>
      </c>
      <c r="G24" s="350" t="s">
        <v>31</v>
      </c>
      <c r="H24" s="350" t="s">
        <v>31</v>
      </c>
      <c r="I24" s="350" t="s">
        <v>31</v>
      </c>
      <c r="J24" s="350" t="s">
        <v>31</v>
      </c>
      <c r="K24" s="350" t="s">
        <v>31</v>
      </c>
      <c r="L24" s="350" t="s">
        <v>31</v>
      </c>
      <c r="M24" s="350" t="s">
        <v>31</v>
      </c>
      <c r="N24" s="350" t="s">
        <v>31</v>
      </c>
      <c r="O24" s="350" t="s">
        <v>31</v>
      </c>
      <c r="P24" s="350" t="s">
        <v>31</v>
      </c>
      <c r="Q24" s="350" t="s">
        <v>31</v>
      </c>
      <c r="R24" s="350" t="s">
        <v>31</v>
      </c>
      <c r="S24" s="350" t="s">
        <v>31</v>
      </c>
      <c r="T24" s="350" t="s">
        <v>31</v>
      </c>
      <c r="U24" s="350" t="s">
        <v>31</v>
      </c>
      <c r="V24" s="350" t="s">
        <v>31</v>
      </c>
      <c r="W24" s="350" t="s">
        <v>31</v>
      </c>
      <c r="X24" s="283"/>
    </row>
    <row r="25" spans="1:24">
      <c r="A25" s="181">
        <f t="shared" si="6"/>
        <v>2003</v>
      </c>
      <c r="B25" s="350">
        <v>1.01</v>
      </c>
      <c r="C25" s="350">
        <v>1.008</v>
      </c>
      <c r="D25" s="350">
        <v>1.004</v>
      </c>
      <c r="E25" s="350">
        <v>1.0049999999999999</v>
      </c>
      <c r="F25" s="350" t="s">
        <v>31</v>
      </c>
      <c r="G25" s="350" t="s">
        <v>31</v>
      </c>
      <c r="H25" s="350" t="s">
        <v>31</v>
      </c>
      <c r="I25" s="350" t="s">
        <v>31</v>
      </c>
      <c r="J25" s="350" t="s">
        <v>31</v>
      </c>
      <c r="K25" s="350" t="s">
        <v>31</v>
      </c>
      <c r="L25" s="350" t="s">
        <v>31</v>
      </c>
      <c r="M25" s="350" t="s">
        <v>31</v>
      </c>
      <c r="N25" s="350" t="s">
        <v>31</v>
      </c>
      <c r="O25" s="350" t="s">
        <v>31</v>
      </c>
      <c r="P25" s="350" t="s">
        <v>31</v>
      </c>
      <c r="Q25" s="350" t="s">
        <v>31</v>
      </c>
      <c r="R25" s="350" t="s">
        <v>31</v>
      </c>
      <c r="S25" s="350" t="s">
        <v>31</v>
      </c>
      <c r="T25" s="350" t="s">
        <v>31</v>
      </c>
      <c r="U25" s="350" t="s">
        <v>31</v>
      </c>
      <c r="V25" s="350" t="s">
        <v>31</v>
      </c>
      <c r="W25" s="350" t="s">
        <v>31</v>
      </c>
      <c r="X25" s="283"/>
    </row>
    <row r="26" spans="1:24">
      <c r="A26" s="181">
        <f t="shared" si="6"/>
        <v>2004</v>
      </c>
      <c r="B26" s="350">
        <v>1.008</v>
      </c>
      <c r="C26" s="350">
        <v>1.0049999999999999</v>
      </c>
      <c r="D26" s="350">
        <v>1.0049999999999999</v>
      </c>
      <c r="E26" s="350" t="s">
        <v>31</v>
      </c>
      <c r="F26" s="350" t="s">
        <v>31</v>
      </c>
      <c r="G26" s="350" t="s">
        <v>31</v>
      </c>
      <c r="H26" s="350" t="s">
        <v>31</v>
      </c>
      <c r="I26" s="350" t="s">
        <v>31</v>
      </c>
      <c r="J26" s="350" t="s">
        <v>31</v>
      </c>
      <c r="K26" s="350" t="s">
        <v>31</v>
      </c>
      <c r="L26" s="350" t="s">
        <v>31</v>
      </c>
      <c r="M26" s="350" t="s">
        <v>31</v>
      </c>
      <c r="N26" s="350" t="s">
        <v>31</v>
      </c>
      <c r="O26" s="350" t="s">
        <v>31</v>
      </c>
      <c r="P26" s="350" t="s">
        <v>31</v>
      </c>
      <c r="Q26" s="350" t="s">
        <v>31</v>
      </c>
      <c r="R26" s="350" t="s">
        <v>31</v>
      </c>
      <c r="S26" s="350" t="s">
        <v>31</v>
      </c>
      <c r="T26" s="350" t="s">
        <v>31</v>
      </c>
      <c r="U26" s="350" t="s">
        <v>31</v>
      </c>
      <c r="V26" s="350" t="s">
        <v>31</v>
      </c>
      <c r="W26" s="350" t="s">
        <v>31</v>
      </c>
      <c r="X26" s="283"/>
    </row>
    <row r="27" spans="1:24" s="199" customFormat="1">
      <c r="A27" s="181">
        <f t="shared" si="6"/>
        <v>2005</v>
      </c>
      <c r="B27" s="350">
        <v>1.006</v>
      </c>
      <c r="C27" s="350">
        <v>1.0049999999999999</v>
      </c>
      <c r="D27" s="350" t="s">
        <v>31</v>
      </c>
      <c r="E27" s="350" t="s">
        <v>31</v>
      </c>
      <c r="F27" s="350" t="s">
        <v>31</v>
      </c>
      <c r="G27" s="350" t="s">
        <v>31</v>
      </c>
      <c r="H27" s="350" t="s">
        <v>31</v>
      </c>
      <c r="I27" s="350" t="s">
        <v>31</v>
      </c>
      <c r="J27" s="350" t="s">
        <v>31</v>
      </c>
      <c r="K27" s="350" t="s">
        <v>31</v>
      </c>
      <c r="L27" s="350" t="s">
        <v>31</v>
      </c>
      <c r="M27" s="350" t="s">
        <v>31</v>
      </c>
      <c r="N27" s="350" t="s">
        <v>31</v>
      </c>
      <c r="O27" s="350" t="s">
        <v>31</v>
      </c>
      <c r="P27" s="350" t="s">
        <v>31</v>
      </c>
      <c r="Q27" s="350" t="s">
        <v>31</v>
      </c>
      <c r="R27" s="350" t="s">
        <v>31</v>
      </c>
      <c r="S27" s="350" t="s">
        <v>31</v>
      </c>
      <c r="T27" s="350" t="s">
        <v>31</v>
      </c>
      <c r="U27" s="350" t="s">
        <v>31</v>
      </c>
      <c r="V27" s="350" t="s">
        <v>31</v>
      </c>
      <c r="W27" s="350" t="s">
        <v>31</v>
      </c>
      <c r="X27" s="334"/>
    </row>
    <row r="28" spans="1:24">
      <c r="A28" s="181">
        <f>'Exhibit 2.3.2'!A28</f>
        <v>2006</v>
      </c>
      <c r="B28" s="350">
        <v>1.006</v>
      </c>
      <c r="C28" s="350" t="s">
        <v>31</v>
      </c>
      <c r="D28" s="350" t="s">
        <v>31</v>
      </c>
      <c r="E28" s="350" t="s">
        <v>31</v>
      </c>
      <c r="F28" s="350" t="s">
        <v>31</v>
      </c>
      <c r="G28" s="350" t="s">
        <v>31</v>
      </c>
      <c r="H28" s="350" t="s">
        <v>31</v>
      </c>
      <c r="I28" s="350" t="s">
        <v>31</v>
      </c>
      <c r="J28" s="350" t="s">
        <v>31</v>
      </c>
      <c r="K28" s="350" t="s">
        <v>31</v>
      </c>
      <c r="L28" s="350" t="s">
        <v>31</v>
      </c>
      <c r="M28" s="350" t="s">
        <v>31</v>
      </c>
      <c r="N28" s="350" t="s">
        <v>31</v>
      </c>
      <c r="O28" s="350" t="s">
        <v>31</v>
      </c>
      <c r="P28" s="350" t="s">
        <v>31</v>
      </c>
      <c r="Q28" s="350" t="s">
        <v>31</v>
      </c>
      <c r="R28" s="350" t="s">
        <v>31</v>
      </c>
      <c r="S28" s="350" t="s">
        <v>31</v>
      </c>
      <c r="T28" s="350" t="s">
        <v>31</v>
      </c>
      <c r="U28" s="350" t="s">
        <v>31</v>
      </c>
      <c r="V28" s="350" t="s">
        <v>31</v>
      </c>
      <c r="W28" s="350" t="s">
        <v>31</v>
      </c>
      <c r="X28" s="283"/>
    </row>
    <row r="29" spans="1:24">
      <c r="A29" s="181"/>
      <c r="B29" s="183"/>
      <c r="C29" s="183"/>
      <c r="D29" s="183"/>
      <c r="E29" s="183"/>
      <c r="F29" s="183"/>
      <c r="G29" s="183"/>
      <c r="H29" s="183"/>
      <c r="I29" s="183"/>
      <c r="J29" s="183"/>
      <c r="K29" s="183"/>
      <c r="L29" s="183"/>
      <c r="M29" s="183"/>
      <c r="N29" s="183"/>
      <c r="O29" s="183"/>
      <c r="P29" s="183"/>
      <c r="Q29" s="283"/>
      <c r="R29" s="283"/>
      <c r="S29" s="283"/>
      <c r="T29" s="283"/>
      <c r="U29" s="325"/>
      <c r="V29" s="334"/>
      <c r="W29" s="283"/>
      <c r="X29" s="283"/>
    </row>
    <row r="30" spans="1:24" ht="15">
      <c r="A30" s="181" t="s">
        <v>51</v>
      </c>
      <c r="B30" s="190" t="s">
        <v>18</v>
      </c>
      <c r="C30" s="190"/>
      <c r="D30" s="190"/>
      <c r="E30" s="190"/>
      <c r="F30" s="190"/>
      <c r="G30" s="190"/>
      <c r="H30" s="190"/>
      <c r="I30" s="190"/>
      <c r="J30" s="190"/>
      <c r="K30" s="190"/>
      <c r="L30" s="190"/>
      <c r="M30" s="190"/>
      <c r="N30" s="190"/>
      <c r="O30" s="190"/>
      <c r="P30" s="190"/>
      <c r="Q30" s="190"/>
      <c r="R30" s="190"/>
      <c r="S30" s="190"/>
      <c r="T30" s="190"/>
      <c r="U30" s="190"/>
      <c r="V30" s="190"/>
      <c r="W30" s="190"/>
      <c r="X30" s="294"/>
    </row>
    <row r="31" spans="1:24">
      <c r="A31" s="184" t="s">
        <v>19</v>
      </c>
      <c r="B31" s="184" t="str">
        <f>+B4</f>
        <v>216/204</v>
      </c>
      <c r="C31" s="184" t="str">
        <f t="shared" ref="C31:X31" si="7">+C4</f>
        <v>228/216</v>
      </c>
      <c r="D31" s="184" t="str">
        <f t="shared" si="7"/>
        <v>240/228</v>
      </c>
      <c r="E31" s="184" t="str">
        <f t="shared" si="7"/>
        <v>252/240</v>
      </c>
      <c r="F31" s="184" t="str">
        <f t="shared" si="7"/>
        <v>264/252</v>
      </c>
      <c r="G31" s="184" t="str">
        <f t="shared" si="7"/>
        <v>276/264</v>
      </c>
      <c r="H31" s="184" t="str">
        <f t="shared" si="7"/>
        <v>288/276</v>
      </c>
      <c r="I31" s="184" t="str">
        <f t="shared" si="7"/>
        <v>300/288</v>
      </c>
      <c r="J31" s="184" t="str">
        <f t="shared" si="7"/>
        <v>312/300</v>
      </c>
      <c r="K31" s="184" t="str">
        <f t="shared" si="7"/>
        <v>324/312</v>
      </c>
      <c r="L31" s="184" t="str">
        <f t="shared" si="7"/>
        <v>336/324</v>
      </c>
      <c r="M31" s="184" t="str">
        <f t="shared" si="7"/>
        <v>348/336</v>
      </c>
      <c r="N31" s="184" t="str">
        <f t="shared" si="7"/>
        <v>360/348</v>
      </c>
      <c r="O31" s="184" t="str">
        <f t="shared" si="7"/>
        <v>372/360</v>
      </c>
      <c r="P31" s="184" t="str">
        <f t="shared" si="7"/>
        <v>384/372</v>
      </c>
      <c r="Q31" s="184" t="str">
        <f t="shared" si="7"/>
        <v>396/384</v>
      </c>
      <c r="R31" s="184" t="str">
        <f t="shared" si="7"/>
        <v>408/396</v>
      </c>
      <c r="S31" s="184" t="str">
        <f>+S4</f>
        <v>420/408</v>
      </c>
      <c r="T31" s="184" t="str">
        <f t="shared" ref="T31:W31" si="8">+T4</f>
        <v>432/420</v>
      </c>
      <c r="U31" s="184" t="str">
        <f t="shared" si="8"/>
        <v>444/432</v>
      </c>
      <c r="V31" s="184" t="str">
        <f t="shared" si="8"/>
        <v>456/444</v>
      </c>
      <c r="W31" s="184" t="str">
        <f t="shared" si="8"/>
        <v>468/456</v>
      </c>
      <c r="X31" s="184" t="str">
        <f t="shared" si="7"/>
        <v>ULT/468Pd (d)</v>
      </c>
    </row>
    <row r="32" spans="1:24">
      <c r="A32" s="181">
        <f>+A5</f>
        <v>1983</v>
      </c>
      <c r="B32" s="350"/>
      <c r="C32" s="350"/>
      <c r="D32" s="350"/>
      <c r="E32" s="350"/>
      <c r="F32" s="350"/>
      <c r="G32" s="350"/>
      <c r="H32" s="350"/>
      <c r="I32" s="350"/>
      <c r="J32" s="350"/>
      <c r="K32" s="350"/>
      <c r="L32" s="350"/>
      <c r="M32" s="350"/>
      <c r="N32" s="350"/>
      <c r="O32" s="350"/>
      <c r="P32" s="350"/>
      <c r="Q32" s="350"/>
      <c r="R32" s="350"/>
      <c r="S32" s="350"/>
      <c r="T32" s="350"/>
      <c r="U32" s="350"/>
      <c r="V32" s="350"/>
      <c r="W32" s="350">
        <v>1.002</v>
      </c>
      <c r="X32" s="183"/>
    </row>
    <row r="33" spans="1:24" s="199" customFormat="1">
      <c r="A33" s="181">
        <f t="shared" ref="A33:A54" si="9">+A6</f>
        <v>1984</v>
      </c>
      <c r="B33" s="350"/>
      <c r="C33" s="350"/>
      <c r="D33" s="350"/>
      <c r="E33" s="350"/>
      <c r="F33" s="350"/>
      <c r="G33" s="350"/>
      <c r="H33" s="350"/>
      <c r="I33" s="350"/>
      <c r="J33" s="350"/>
      <c r="K33" s="350"/>
      <c r="L33" s="350"/>
      <c r="M33" s="350"/>
      <c r="N33" s="350"/>
      <c r="O33" s="350"/>
      <c r="P33" s="350"/>
      <c r="Q33" s="350"/>
      <c r="R33" s="350"/>
      <c r="S33" s="350"/>
      <c r="T33" s="350"/>
      <c r="U33" s="350"/>
      <c r="V33" s="350">
        <v>1.0009999999999999</v>
      </c>
      <c r="W33" s="350">
        <v>1.0009999999999999</v>
      </c>
      <c r="X33" s="183"/>
    </row>
    <row r="34" spans="1:24" s="199" customFormat="1">
      <c r="A34" s="181">
        <f t="shared" si="9"/>
        <v>1985</v>
      </c>
      <c r="B34" s="350"/>
      <c r="C34" s="350"/>
      <c r="D34" s="350"/>
      <c r="E34" s="350"/>
      <c r="F34" s="350"/>
      <c r="G34" s="350"/>
      <c r="H34" s="350"/>
      <c r="I34" s="350"/>
      <c r="J34" s="350"/>
      <c r="K34" s="350"/>
      <c r="L34" s="350"/>
      <c r="M34" s="350"/>
      <c r="N34" s="350"/>
      <c r="O34" s="350"/>
      <c r="P34" s="350"/>
      <c r="Q34" s="350"/>
      <c r="R34" s="350"/>
      <c r="S34" s="350"/>
      <c r="T34" s="350"/>
      <c r="U34" s="350">
        <v>1.0009999999999999</v>
      </c>
      <c r="V34" s="350">
        <v>1.002</v>
      </c>
      <c r="W34" s="350">
        <v>1.0029999999999999</v>
      </c>
      <c r="X34" s="183"/>
    </row>
    <row r="35" spans="1:24" s="182" customFormat="1">
      <c r="A35" s="181">
        <f t="shared" si="9"/>
        <v>1986</v>
      </c>
      <c r="B35" s="350"/>
      <c r="C35" s="350"/>
      <c r="D35" s="350"/>
      <c r="E35" s="350"/>
      <c r="F35" s="350"/>
      <c r="G35" s="350"/>
      <c r="H35" s="350"/>
      <c r="I35" s="350"/>
      <c r="J35" s="350"/>
      <c r="K35" s="350"/>
      <c r="L35" s="350"/>
      <c r="M35" s="350"/>
      <c r="N35" s="350"/>
      <c r="O35" s="350"/>
      <c r="P35" s="350"/>
      <c r="Q35" s="350"/>
      <c r="R35" s="350"/>
      <c r="S35" s="350"/>
      <c r="T35" s="350">
        <v>1.0009999999999999</v>
      </c>
      <c r="U35" s="350">
        <v>1.002</v>
      </c>
      <c r="V35" s="350">
        <v>1.002</v>
      </c>
      <c r="W35" s="350" t="s">
        <v>31</v>
      </c>
      <c r="X35" s="183"/>
    </row>
    <row r="36" spans="1:24" s="146" customFormat="1">
      <c r="A36" s="181">
        <f t="shared" si="9"/>
        <v>1987</v>
      </c>
      <c r="B36" s="350"/>
      <c r="C36" s="350"/>
      <c r="D36" s="350"/>
      <c r="E36" s="350"/>
      <c r="F36" s="350"/>
      <c r="G36" s="350"/>
      <c r="H36" s="350"/>
      <c r="I36" s="350"/>
      <c r="J36" s="350"/>
      <c r="K36" s="350"/>
      <c r="L36" s="350"/>
      <c r="M36" s="350"/>
      <c r="N36" s="350"/>
      <c r="O36" s="350"/>
      <c r="P36" s="350"/>
      <c r="Q36" s="350"/>
      <c r="R36" s="350"/>
      <c r="S36" s="350">
        <v>1.0029999999999999</v>
      </c>
      <c r="T36" s="350">
        <v>1.0029999999999999</v>
      </c>
      <c r="U36" s="350">
        <v>1.002</v>
      </c>
      <c r="V36" s="350"/>
      <c r="W36" s="350" t="s">
        <v>31</v>
      </c>
      <c r="X36" s="183"/>
    </row>
    <row r="37" spans="1:24">
      <c r="A37" s="181">
        <f t="shared" si="9"/>
        <v>1988</v>
      </c>
      <c r="B37" s="350"/>
      <c r="C37" s="350"/>
      <c r="D37" s="350"/>
      <c r="E37" s="350"/>
      <c r="F37" s="350"/>
      <c r="G37" s="350"/>
      <c r="H37" s="350"/>
      <c r="I37" s="350"/>
      <c r="J37" s="350"/>
      <c r="K37" s="350"/>
      <c r="L37" s="350"/>
      <c r="M37" s="350"/>
      <c r="N37" s="350"/>
      <c r="O37" s="350"/>
      <c r="P37" s="350"/>
      <c r="Q37" s="350"/>
      <c r="R37" s="350">
        <v>1.0029999999999999</v>
      </c>
      <c r="S37" s="350">
        <v>1.0029999999999999</v>
      </c>
      <c r="T37" s="350">
        <v>1.002</v>
      </c>
      <c r="U37" s="350" t="s">
        <v>31</v>
      </c>
      <c r="V37" s="350"/>
      <c r="W37" s="350" t="s">
        <v>31</v>
      </c>
      <c r="X37" s="183"/>
    </row>
    <row r="38" spans="1:24">
      <c r="A38" s="181">
        <f t="shared" si="9"/>
        <v>1989</v>
      </c>
      <c r="B38" s="350"/>
      <c r="C38" s="350"/>
      <c r="D38" s="350"/>
      <c r="E38" s="350"/>
      <c r="F38" s="350"/>
      <c r="G38" s="350"/>
      <c r="H38" s="350"/>
      <c r="I38" s="350"/>
      <c r="J38" s="350"/>
      <c r="K38" s="350"/>
      <c r="L38" s="350"/>
      <c r="M38" s="350"/>
      <c r="N38" s="350"/>
      <c r="O38" s="350"/>
      <c r="P38" s="350"/>
      <c r="Q38" s="350">
        <v>1.002</v>
      </c>
      <c r="R38" s="350">
        <v>1.002</v>
      </c>
      <c r="S38" s="350">
        <v>1.002</v>
      </c>
      <c r="T38" s="350" t="s">
        <v>31</v>
      </c>
      <c r="U38" s="350" t="s">
        <v>31</v>
      </c>
      <c r="V38" s="350"/>
      <c r="W38" s="350" t="s">
        <v>31</v>
      </c>
      <c r="X38" s="183"/>
    </row>
    <row r="39" spans="1:24">
      <c r="A39" s="181">
        <f t="shared" si="9"/>
        <v>1990</v>
      </c>
      <c r="B39" s="350"/>
      <c r="C39" s="350"/>
      <c r="D39" s="350"/>
      <c r="E39" s="350"/>
      <c r="F39" s="350"/>
      <c r="G39" s="350"/>
      <c r="H39" s="350"/>
      <c r="I39" s="350"/>
      <c r="J39" s="350"/>
      <c r="K39" s="350"/>
      <c r="L39" s="350"/>
      <c r="M39" s="350"/>
      <c r="N39" s="350"/>
      <c r="O39" s="350"/>
      <c r="P39" s="350">
        <v>1.0029999999999999</v>
      </c>
      <c r="Q39" s="350">
        <v>1.0009999999999999</v>
      </c>
      <c r="R39" s="350">
        <v>1.0029999999999999</v>
      </c>
      <c r="S39" s="350" t="s">
        <v>31</v>
      </c>
      <c r="T39" s="350" t="s">
        <v>31</v>
      </c>
      <c r="U39" s="350" t="s">
        <v>31</v>
      </c>
      <c r="V39" s="350"/>
      <c r="W39" s="350" t="s">
        <v>31</v>
      </c>
      <c r="X39" s="183"/>
    </row>
    <row r="40" spans="1:24">
      <c r="A40" s="181">
        <f t="shared" si="9"/>
        <v>1991</v>
      </c>
      <c r="B40" s="350"/>
      <c r="C40" s="350"/>
      <c r="D40" s="350"/>
      <c r="E40" s="350"/>
      <c r="F40" s="350"/>
      <c r="G40" s="350"/>
      <c r="H40" s="350"/>
      <c r="I40" s="350"/>
      <c r="J40" s="350"/>
      <c r="K40" s="350"/>
      <c r="L40" s="350"/>
      <c r="M40" s="350"/>
      <c r="N40" s="350"/>
      <c r="O40" s="350">
        <v>1.002</v>
      </c>
      <c r="P40" s="350">
        <v>1.0029999999999999</v>
      </c>
      <c r="Q40" s="350">
        <v>1.002</v>
      </c>
      <c r="R40" s="350" t="s">
        <v>31</v>
      </c>
      <c r="S40" s="350" t="s">
        <v>31</v>
      </c>
      <c r="T40" s="350" t="s">
        <v>31</v>
      </c>
      <c r="U40" s="350" t="s">
        <v>31</v>
      </c>
      <c r="V40" s="350"/>
      <c r="W40" s="350" t="s">
        <v>31</v>
      </c>
      <c r="X40" s="183"/>
    </row>
    <row r="41" spans="1:24">
      <c r="A41" s="181">
        <f t="shared" si="9"/>
        <v>1992</v>
      </c>
      <c r="B41" s="350"/>
      <c r="C41" s="350"/>
      <c r="D41" s="350"/>
      <c r="E41" s="350"/>
      <c r="F41" s="350"/>
      <c r="G41" s="350"/>
      <c r="H41" s="350"/>
      <c r="I41" s="350"/>
      <c r="J41" s="350"/>
      <c r="K41" s="350"/>
      <c r="L41" s="350"/>
      <c r="M41" s="350"/>
      <c r="N41" s="350">
        <v>1.0029999999999999</v>
      </c>
      <c r="O41" s="350">
        <v>1.002</v>
      </c>
      <c r="P41" s="350">
        <v>1.0029999999999999</v>
      </c>
      <c r="Q41" s="350" t="s">
        <v>31</v>
      </c>
      <c r="R41" s="350" t="s">
        <v>31</v>
      </c>
      <c r="S41" s="350" t="s">
        <v>31</v>
      </c>
      <c r="T41" s="350" t="s">
        <v>31</v>
      </c>
      <c r="U41" s="350" t="s">
        <v>31</v>
      </c>
      <c r="V41" s="350"/>
      <c r="W41" s="350" t="s">
        <v>31</v>
      </c>
      <c r="X41" s="183"/>
    </row>
    <row r="42" spans="1:24">
      <c r="A42" s="181">
        <f t="shared" si="9"/>
        <v>1993</v>
      </c>
      <c r="B42" s="350"/>
      <c r="C42" s="350"/>
      <c r="D42" s="350"/>
      <c r="E42" s="350"/>
      <c r="F42" s="350"/>
      <c r="G42" s="350"/>
      <c r="H42" s="350"/>
      <c r="I42" s="350"/>
      <c r="J42" s="350"/>
      <c r="K42" s="350"/>
      <c r="L42" s="350"/>
      <c r="M42" s="350">
        <v>1.0029999999999999</v>
      </c>
      <c r="N42" s="350">
        <v>1.002</v>
      </c>
      <c r="O42" s="350">
        <v>1.002</v>
      </c>
      <c r="P42" s="350" t="s">
        <v>31</v>
      </c>
      <c r="Q42" s="350" t="s">
        <v>31</v>
      </c>
      <c r="R42" s="350" t="s">
        <v>31</v>
      </c>
      <c r="S42" s="350" t="s">
        <v>31</v>
      </c>
      <c r="T42" s="350" t="s">
        <v>31</v>
      </c>
      <c r="U42" s="350" t="s">
        <v>31</v>
      </c>
      <c r="V42" s="350"/>
      <c r="W42" s="350" t="s">
        <v>31</v>
      </c>
      <c r="X42" s="283"/>
    </row>
    <row r="43" spans="1:24">
      <c r="A43" s="181">
        <f t="shared" si="9"/>
        <v>1994</v>
      </c>
      <c r="B43" s="350"/>
      <c r="C43" s="350"/>
      <c r="D43" s="350"/>
      <c r="E43" s="350"/>
      <c r="F43" s="350"/>
      <c r="G43" s="350"/>
      <c r="H43" s="350"/>
      <c r="I43" s="350"/>
      <c r="J43" s="350"/>
      <c r="K43" s="350"/>
      <c r="L43" s="350">
        <v>1.004</v>
      </c>
      <c r="M43" s="350">
        <v>1.0049999999999999</v>
      </c>
      <c r="N43" s="350">
        <v>1.0029999999999999</v>
      </c>
      <c r="O43" s="350" t="s">
        <v>31</v>
      </c>
      <c r="P43" s="350" t="s">
        <v>31</v>
      </c>
      <c r="Q43" s="350" t="s">
        <v>31</v>
      </c>
      <c r="R43" s="350" t="s">
        <v>31</v>
      </c>
      <c r="S43" s="350" t="s">
        <v>31</v>
      </c>
      <c r="T43" s="350" t="s">
        <v>31</v>
      </c>
      <c r="U43" s="350" t="s">
        <v>31</v>
      </c>
      <c r="V43" s="350"/>
      <c r="W43" s="350" t="s">
        <v>31</v>
      </c>
      <c r="X43" s="283"/>
    </row>
    <row r="44" spans="1:24">
      <c r="A44" s="181">
        <f t="shared" si="9"/>
        <v>1995</v>
      </c>
      <c r="B44" s="350"/>
      <c r="C44" s="350"/>
      <c r="D44" s="350"/>
      <c r="E44" s="350"/>
      <c r="F44" s="350"/>
      <c r="G44" s="350"/>
      <c r="H44" s="350"/>
      <c r="I44" s="350"/>
      <c r="J44" s="350"/>
      <c r="K44" s="350">
        <v>1.006</v>
      </c>
      <c r="L44" s="350">
        <v>1.004</v>
      </c>
      <c r="M44" s="350">
        <v>1.004</v>
      </c>
      <c r="N44" s="350" t="s">
        <v>31</v>
      </c>
      <c r="O44" s="350" t="s">
        <v>31</v>
      </c>
      <c r="P44" s="350" t="s">
        <v>31</v>
      </c>
      <c r="Q44" s="350" t="s">
        <v>31</v>
      </c>
      <c r="R44" s="350" t="s">
        <v>31</v>
      </c>
      <c r="S44" s="350" t="s">
        <v>31</v>
      </c>
      <c r="T44" s="350" t="s">
        <v>31</v>
      </c>
      <c r="U44" s="350" t="s">
        <v>31</v>
      </c>
      <c r="V44" s="350"/>
      <c r="W44" s="350" t="s">
        <v>31</v>
      </c>
      <c r="X44" s="14"/>
    </row>
    <row r="45" spans="1:24">
      <c r="A45" s="181">
        <f t="shared" si="9"/>
        <v>1996</v>
      </c>
      <c r="B45" s="350"/>
      <c r="C45" s="350"/>
      <c r="D45" s="350"/>
      <c r="E45" s="350"/>
      <c r="F45" s="350"/>
      <c r="G45" s="350"/>
      <c r="H45" s="350"/>
      <c r="I45" s="350"/>
      <c r="J45" s="350">
        <v>1.0049999999999999</v>
      </c>
      <c r="K45" s="350">
        <v>1.006</v>
      </c>
      <c r="L45" s="350">
        <v>1.004</v>
      </c>
      <c r="M45" s="350" t="s">
        <v>31</v>
      </c>
      <c r="N45" s="350" t="s">
        <v>31</v>
      </c>
      <c r="O45" s="350" t="s">
        <v>31</v>
      </c>
      <c r="P45" s="350" t="s">
        <v>31</v>
      </c>
      <c r="Q45" s="350" t="s">
        <v>31</v>
      </c>
      <c r="R45" s="350" t="s">
        <v>31</v>
      </c>
      <c r="S45" s="350" t="s">
        <v>31</v>
      </c>
      <c r="T45" s="350" t="s">
        <v>31</v>
      </c>
      <c r="U45" s="350" t="s">
        <v>31</v>
      </c>
      <c r="V45" s="350"/>
      <c r="W45" s="350" t="s">
        <v>31</v>
      </c>
      <c r="X45" s="283"/>
    </row>
    <row r="46" spans="1:24">
      <c r="A46" s="181">
        <f t="shared" si="9"/>
        <v>1997</v>
      </c>
      <c r="B46" s="350"/>
      <c r="C46" s="350"/>
      <c r="D46" s="350"/>
      <c r="E46" s="350"/>
      <c r="F46" s="350"/>
      <c r="G46" s="350"/>
      <c r="H46" s="350"/>
      <c r="I46" s="350">
        <v>1.0049999999999999</v>
      </c>
      <c r="J46" s="350">
        <v>1.004</v>
      </c>
      <c r="K46" s="350">
        <v>1.004</v>
      </c>
      <c r="L46" s="350" t="s">
        <v>31</v>
      </c>
      <c r="M46" s="350" t="s">
        <v>31</v>
      </c>
      <c r="N46" s="350" t="s">
        <v>31</v>
      </c>
      <c r="O46" s="350" t="s">
        <v>31</v>
      </c>
      <c r="P46" s="350" t="s">
        <v>31</v>
      </c>
      <c r="Q46" s="350" t="s">
        <v>31</v>
      </c>
      <c r="R46" s="350" t="s">
        <v>31</v>
      </c>
      <c r="S46" s="350" t="s">
        <v>31</v>
      </c>
      <c r="T46" s="350" t="s">
        <v>31</v>
      </c>
      <c r="U46" s="350" t="s">
        <v>31</v>
      </c>
      <c r="V46" s="350"/>
      <c r="W46" s="350" t="s">
        <v>31</v>
      </c>
      <c r="X46" s="283"/>
    </row>
    <row r="47" spans="1:24">
      <c r="A47" s="181">
        <f t="shared" si="9"/>
        <v>1998</v>
      </c>
      <c r="B47" s="350"/>
      <c r="C47" s="350"/>
      <c r="D47" s="350"/>
      <c r="E47" s="350"/>
      <c r="F47" s="350"/>
      <c r="G47" s="350"/>
      <c r="H47" s="350">
        <v>1.006</v>
      </c>
      <c r="I47" s="350">
        <v>1.006</v>
      </c>
      <c r="J47" s="350">
        <v>1.0069999999999999</v>
      </c>
      <c r="K47" s="350" t="s">
        <v>31</v>
      </c>
      <c r="L47" s="350" t="s">
        <v>31</v>
      </c>
      <c r="M47" s="350" t="s">
        <v>31</v>
      </c>
      <c r="N47" s="350" t="s">
        <v>31</v>
      </c>
      <c r="O47" s="350" t="s">
        <v>31</v>
      </c>
      <c r="P47" s="350" t="s">
        <v>31</v>
      </c>
      <c r="Q47" s="350" t="s">
        <v>31</v>
      </c>
      <c r="R47" s="350" t="s">
        <v>31</v>
      </c>
      <c r="S47" s="350" t="s">
        <v>31</v>
      </c>
      <c r="T47" s="350" t="s">
        <v>31</v>
      </c>
      <c r="U47" s="350" t="s">
        <v>31</v>
      </c>
      <c r="V47" s="350"/>
      <c r="W47" s="350" t="s">
        <v>31</v>
      </c>
      <c r="X47" s="283"/>
    </row>
    <row r="48" spans="1:24">
      <c r="A48" s="181">
        <f t="shared" si="9"/>
        <v>1999</v>
      </c>
      <c r="B48" s="350"/>
      <c r="C48" s="350"/>
      <c r="D48" s="350"/>
      <c r="E48" s="350"/>
      <c r="F48" s="350"/>
      <c r="G48" s="350">
        <v>1.006</v>
      </c>
      <c r="H48" s="350">
        <v>1.004</v>
      </c>
      <c r="I48" s="350">
        <v>1.004</v>
      </c>
      <c r="J48" s="350" t="s">
        <v>31</v>
      </c>
      <c r="K48" s="350" t="s">
        <v>31</v>
      </c>
      <c r="L48" s="350" t="s">
        <v>31</v>
      </c>
      <c r="M48" s="350" t="s">
        <v>31</v>
      </c>
      <c r="N48" s="350" t="s">
        <v>31</v>
      </c>
      <c r="O48" s="350" t="s">
        <v>31</v>
      </c>
      <c r="P48" s="350" t="s">
        <v>31</v>
      </c>
      <c r="Q48" s="350" t="s">
        <v>31</v>
      </c>
      <c r="R48" s="350" t="s">
        <v>31</v>
      </c>
      <c r="S48" s="350" t="s">
        <v>31</v>
      </c>
      <c r="T48" s="350" t="s">
        <v>31</v>
      </c>
      <c r="U48" s="350" t="s">
        <v>31</v>
      </c>
      <c r="V48" s="350"/>
      <c r="W48" s="350" t="s">
        <v>31</v>
      </c>
      <c r="X48" s="283"/>
    </row>
    <row r="49" spans="1:24">
      <c r="A49" s="181">
        <f t="shared" si="9"/>
        <v>2000</v>
      </c>
      <c r="B49" s="350"/>
      <c r="C49" s="350"/>
      <c r="D49" s="350"/>
      <c r="E49" s="350"/>
      <c r="F49" s="350">
        <v>1.006</v>
      </c>
      <c r="G49" s="350">
        <v>1.004</v>
      </c>
      <c r="H49" s="350">
        <v>1.004</v>
      </c>
      <c r="I49" s="350" t="s">
        <v>31</v>
      </c>
      <c r="J49" s="350" t="s">
        <v>31</v>
      </c>
      <c r="K49" s="350" t="s">
        <v>31</v>
      </c>
      <c r="L49" s="350" t="s">
        <v>31</v>
      </c>
      <c r="M49" s="350" t="s">
        <v>31</v>
      </c>
      <c r="N49" s="350" t="s">
        <v>31</v>
      </c>
      <c r="O49" s="350" t="s">
        <v>31</v>
      </c>
      <c r="P49" s="350" t="s">
        <v>31</v>
      </c>
      <c r="Q49" s="350" t="s">
        <v>31</v>
      </c>
      <c r="R49" s="350" t="s">
        <v>31</v>
      </c>
      <c r="S49" s="350" t="s">
        <v>31</v>
      </c>
      <c r="T49" s="350" t="s">
        <v>31</v>
      </c>
      <c r="U49" s="350" t="s">
        <v>31</v>
      </c>
      <c r="V49" s="350"/>
      <c r="W49" s="350" t="s">
        <v>31</v>
      </c>
      <c r="X49" s="283"/>
    </row>
    <row r="50" spans="1:24">
      <c r="A50" s="181">
        <f t="shared" si="9"/>
        <v>2001</v>
      </c>
      <c r="B50" s="350"/>
      <c r="C50" s="350"/>
      <c r="D50" s="350"/>
      <c r="E50" s="350">
        <v>1.006</v>
      </c>
      <c r="F50" s="350">
        <v>1.004</v>
      </c>
      <c r="G50" s="350">
        <v>1.0049999999999999</v>
      </c>
      <c r="H50" s="350" t="s">
        <v>31</v>
      </c>
      <c r="I50" s="350" t="s">
        <v>31</v>
      </c>
      <c r="J50" s="350" t="s">
        <v>31</v>
      </c>
      <c r="K50" s="350" t="s">
        <v>31</v>
      </c>
      <c r="L50" s="350" t="s">
        <v>31</v>
      </c>
      <c r="M50" s="350" t="s">
        <v>31</v>
      </c>
      <c r="N50" s="350" t="s">
        <v>31</v>
      </c>
      <c r="O50" s="350" t="s">
        <v>31</v>
      </c>
      <c r="P50" s="350" t="s">
        <v>31</v>
      </c>
      <c r="Q50" s="350" t="s">
        <v>31</v>
      </c>
      <c r="R50" s="350" t="s">
        <v>31</v>
      </c>
      <c r="S50" s="350" t="s">
        <v>31</v>
      </c>
      <c r="T50" s="350" t="s">
        <v>31</v>
      </c>
      <c r="U50" s="350" t="s">
        <v>31</v>
      </c>
      <c r="V50" s="350"/>
      <c r="W50" s="350" t="s">
        <v>31</v>
      </c>
      <c r="X50" s="283"/>
    </row>
    <row r="51" spans="1:24">
      <c r="A51" s="181">
        <f t="shared" si="9"/>
        <v>2002</v>
      </c>
      <c r="B51" s="350"/>
      <c r="C51" s="350"/>
      <c r="D51" s="350">
        <v>1.0069999999999999</v>
      </c>
      <c r="E51" s="350">
        <v>1.0049999999999999</v>
      </c>
      <c r="F51" s="350">
        <v>1.004</v>
      </c>
      <c r="G51" s="350" t="s">
        <v>31</v>
      </c>
      <c r="H51" s="350" t="s">
        <v>31</v>
      </c>
      <c r="I51" s="350" t="s">
        <v>31</v>
      </c>
      <c r="J51" s="350" t="s">
        <v>31</v>
      </c>
      <c r="K51" s="350" t="s">
        <v>31</v>
      </c>
      <c r="L51" s="350" t="s">
        <v>31</v>
      </c>
      <c r="M51" s="350" t="s">
        <v>31</v>
      </c>
      <c r="N51" s="350" t="s">
        <v>31</v>
      </c>
      <c r="O51" s="350" t="s">
        <v>31</v>
      </c>
      <c r="P51" s="350" t="s">
        <v>31</v>
      </c>
      <c r="Q51" s="350" t="s">
        <v>31</v>
      </c>
      <c r="R51" s="350" t="s">
        <v>31</v>
      </c>
      <c r="S51" s="350" t="s">
        <v>31</v>
      </c>
      <c r="T51" s="350" t="s">
        <v>31</v>
      </c>
      <c r="U51" s="350" t="s">
        <v>31</v>
      </c>
      <c r="V51" s="350"/>
      <c r="W51" s="350" t="s">
        <v>31</v>
      </c>
      <c r="X51" s="283"/>
    </row>
    <row r="52" spans="1:24">
      <c r="A52" s="181">
        <f t="shared" si="9"/>
        <v>2003</v>
      </c>
      <c r="B52" s="350"/>
      <c r="C52" s="350">
        <v>1.0089999999999999</v>
      </c>
      <c r="D52" s="350">
        <v>1.0049999999999999</v>
      </c>
      <c r="E52" s="350">
        <v>1.006</v>
      </c>
      <c r="F52" s="350" t="s">
        <v>31</v>
      </c>
      <c r="G52" s="350" t="s">
        <v>31</v>
      </c>
      <c r="H52" s="350" t="s">
        <v>31</v>
      </c>
      <c r="I52" s="350" t="s">
        <v>31</v>
      </c>
      <c r="J52" s="350" t="s">
        <v>31</v>
      </c>
      <c r="K52" s="350" t="s">
        <v>31</v>
      </c>
      <c r="L52" s="350" t="s">
        <v>31</v>
      </c>
      <c r="M52" s="350" t="s">
        <v>31</v>
      </c>
      <c r="N52" s="350" t="s">
        <v>31</v>
      </c>
      <c r="O52" s="350" t="s">
        <v>31</v>
      </c>
      <c r="P52" s="350" t="s">
        <v>31</v>
      </c>
      <c r="Q52" s="350" t="s">
        <v>31</v>
      </c>
      <c r="R52" s="350" t="s">
        <v>31</v>
      </c>
      <c r="S52" s="350" t="s">
        <v>31</v>
      </c>
      <c r="T52" s="350" t="s">
        <v>31</v>
      </c>
      <c r="U52" s="350" t="s">
        <v>31</v>
      </c>
      <c r="V52" s="350"/>
      <c r="W52" s="350" t="s">
        <v>31</v>
      </c>
      <c r="X52" s="283"/>
    </row>
    <row r="53" spans="1:24">
      <c r="A53" s="181">
        <f t="shared" si="9"/>
        <v>2004</v>
      </c>
      <c r="B53" s="350">
        <v>1.008</v>
      </c>
      <c r="C53" s="350">
        <v>1.006</v>
      </c>
      <c r="D53" s="350">
        <v>1.006</v>
      </c>
      <c r="E53" s="350" t="s">
        <v>31</v>
      </c>
      <c r="F53" s="350" t="s">
        <v>31</v>
      </c>
      <c r="G53" s="350" t="s">
        <v>31</v>
      </c>
      <c r="H53" s="350" t="s">
        <v>31</v>
      </c>
      <c r="I53" s="350" t="s">
        <v>31</v>
      </c>
      <c r="J53" s="350" t="s">
        <v>31</v>
      </c>
      <c r="K53" s="350" t="s">
        <v>31</v>
      </c>
      <c r="L53" s="350" t="s">
        <v>31</v>
      </c>
      <c r="M53" s="350" t="s">
        <v>31</v>
      </c>
      <c r="N53" s="350" t="s">
        <v>31</v>
      </c>
      <c r="O53" s="350" t="s">
        <v>31</v>
      </c>
      <c r="P53" s="350" t="s">
        <v>31</v>
      </c>
      <c r="Q53" s="350" t="s">
        <v>31</v>
      </c>
      <c r="R53" s="350" t="s">
        <v>31</v>
      </c>
      <c r="S53" s="350" t="s">
        <v>31</v>
      </c>
      <c r="T53" s="350" t="s">
        <v>31</v>
      </c>
      <c r="U53" s="350" t="s">
        <v>31</v>
      </c>
      <c r="V53" s="350"/>
      <c r="W53" s="350" t="s">
        <v>31</v>
      </c>
      <c r="X53" s="283"/>
    </row>
    <row r="54" spans="1:24" s="199" customFormat="1">
      <c r="A54" s="181">
        <f t="shared" si="9"/>
        <v>2005</v>
      </c>
      <c r="B54" s="350">
        <v>1.0069999999999999</v>
      </c>
      <c r="C54" s="350">
        <v>1.0049999999999999</v>
      </c>
      <c r="D54" s="350"/>
      <c r="E54" s="350"/>
      <c r="F54" s="350"/>
      <c r="G54" s="350"/>
      <c r="H54" s="350"/>
      <c r="I54" s="350"/>
      <c r="J54" s="350"/>
      <c r="K54" s="350"/>
      <c r="L54" s="350"/>
      <c r="M54" s="350"/>
      <c r="N54" s="350"/>
      <c r="O54" s="350"/>
      <c r="P54" s="350"/>
      <c r="Q54" s="350"/>
      <c r="R54" s="350"/>
      <c r="S54" s="350"/>
      <c r="T54" s="350"/>
      <c r="U54" s="350"/>
      <c r="V54" s="350"/>
      <c r="W54" s="350"/>
      <c r="X54" s="334"/>
    </row>
    <row r="55" spans="1:24">
      <c r="A55" s="181">
        <f t="shared" ref="A55" si="10">+A28</f>
        <v>2006</v>
      </c>
      <c r="B55" s="350">
        <v>1.0069999999999999</v>
      </c>
      <c r="C55" s="350" t="s">
        <v>31</v>
      </c>
      <c r="D55" s="350" t="s">
        <v>31</v>
      </c>
      <c r="E55" s="350" t="s">
        <v>31</v>
      </c>
      <c r="F55" s="350" t="s">
        <v>31</v>
      </c>
      <c r="G55" s="350" t="s">
        <v>31</v>
      </c>
      <c r="H55" s="350" t="s">
        <v>31</v>
      </c>
      <c r="I55" s="350" t="s">
        <v>31</v>
      </c>
      <c r="J55" s="350" t="s">
        <v>31</v>
      </c>
      <c r="K55" s="350" t="s">
        <v>31</v>
      </c>
      <c r="L55" s="350" t="s">
        <v>31</v>
      </c>
      <c r="M55" s="350" t="s">
        <v>31</v>
      </c>
      <c r="N55" s="350" t="s">
        <v>31</v>
      </c>
      <c r="O55" s="350" t="s">
        <v>31</v>
      </c>
      <c r="P55" s="350" t="s">
        <v>31</v>
      </c>
      <c r="Q55" s="350" t="s">
        <v>31</v>
      </c>
      <c r="R55" s="350" t="s">
        <v>31</v>
      </c>
      <c r="S55" s="350" t="s">
        <v>31</v>
      </c>
      <c r="T55" s="350" t="s">
        <v>31</v>
      </c>
      <c r="U55" s="350" t="s">
        <v>31</v>
      </c>
      <c r="V55" s="350"/>
      <c r="W55" s="350" t="s">
        <v>31</v>
      </c>
      <c r="X55" s="283"/>
    </row>
    <row r="56" spans="1:24">
      <c r="A56" s="186"/>
      <c r="B56" s="183"/>
      <c r="C56" s="183"/>
      <c r="D56" s="183"/>
      <c r="E56" s="183"/>
      <c r="F56" s="183"/>
      <c r="G56" s="183"/>
      <c r="H56" s="183"/>
      <c r="I56" s="183"/>
      <c r="J56" s="183"/>
      <c r="K56" s="183"/>
      <c r="L56" s="183"/>
      <c r="M56" s="183"/>
      <c r="N56" s="183"/>
      <c r="O56" s="183"/>
      <c r="P56" s="183"/>
      <c r="Q56" s="183"/>
      <c r="R56" s="183"/>
      <c r="S56" s="183"/>
      <c r="T56" s="183"/>
      <c r="U56" s="183"/>
      <c r="V56" s="183"/>
      <c r="W56" s="183"/>
      <c r="X56" s="183"/>
    </row>
    <row r="57" spans="1:24">
      <c r="A57" s="181" t="s">
        <v>33</v>
      </c>
      <c r="B57" s="351">
        <f ca="1">AVERAGE(OFFSET(B$54:B$56,-COUNTA($B$31:B$31),0))</f>
        <v>1.0073333333333332</v>
      </c>
      <c r="C57" s="351">
        <f ca="1">AVERAGE(OFFSET(C$54:C$56,-COUNTA($B$31:C$31),0))</f>
        <v>1.0066666666666666</v>
      </c>
      <c r="D57" s="351">
        <f ca="1">AVERAGE(OFFSET(D$54:D$56,-COUNTA($B$31:D$31),0))</f>
        <v>1.006</v>
      </c>
      <c r="E57" s="351">
        <f ca="1">AVERAGE(OFFSET(E$54:E$56,-COUNTA($B$31:E$31),0))</f>
        <v>1.0056666666666667</v>
      </c>
      <c r="F57" s="351">
        <f ca="1">AVERAGE(OFFSET(F$54:F$56,-COUNTA($B$31:F$31),0))</f>
        <v>1.0046666666666666</v>
      </c>
      <c r="G57" s="351">
        <f ca="1">AVERAGE(OFFSET(G$54:G$56,-COUNTA($B$31:G$31),0))</f>
        <v>1.0049999999999999</v>
      </c>
      <c r="H57" s="351">
        <f ca="1">AVERAGE(OFFSET(H$54:H$56,-COUNTA($B$31:H$31),0))</f>
        <v>1.0046666666666666</v>
      </c>
      <c r="I57" s="351">
        <f ca="1">AVERAGE(OFFSET(I$54:I$56,-COUNTA($B$31:I$31),0))</f>
        <v>1.0050000000000001</v>
      </c>
      <c r="J57" s="351">
        <f ca="1">AVERAGE(OFFSET(J$54:J$56,-COUNTA($B$31:J$31),0))</f>
        <v>1.0053333333333334</v>
      </c>
      <c r="K57" s="351">
        <f ca="1">AVERAGE(OFFSET(K$54:K$56,-COUNTA($B$31:K$31),0))</f>
        <v>1.0053333333333334</v>
      </c>
      <c r="L57" s="351">
        <f ca="1">AVERAGE(OFFSET(L$54:L$56,-COUNTA($B$31:L$31),0))</f>
        <v>1.004</v>
      </c>
      <c r="M57" s="351">
        <f ca="1">AVERAGE(OFFSET(M$54:M$56,-COUNTA($B$31:M$31),0))</f>
        <v>1.004</v>
      </c>
      <c r="N57" s="351">
        <f ca="1">AVERAGE(OFFSET(N$54:N$56,-COUNTA($B$31:N$31),0))</f>
        <v>1.0026666666666666</v>
      </c>
      <c r="O57" s="351">
        <f ca="1">AVERAGE(OFFSET(O$54:O$56,-COUNTA($B$31:O$31),0))</f>
        <v>1.002</v>
      </c>
      <c r="P57" s="351">
        <f ca="1">AVERAGE(OFFSET(P$54:P$56,-COUNTA($B$31:P$31),0))</f>
        <v>1.0029999999999999</v>
      </c>
      <c r="Q57" s="351">
        <f ca="1">AVERAGE(OFFSET(Q$54:Q$56,-COUNTA($B$31:Q$31),0))</f>
        <v>1.0016666666666667</v>
      </c>
      <c r="R57" s="351">
        <f ca="1">AVERAGE(OFFSET(R$54:R$56,-COUNTA($B$31:R$31),0))</f>
        <v>1.0026666666666666</v>
      </c>
      <c r="S57" s="351">
        <f ca="1">AVERAGE(OFFSET(S$54:S$56,-COUNTA($B$31:S$31),0))</f>
        <v>1.0026666666666666</v>
      </c>
      <c r="T57" s="351">
        <f ca="1">AVERAGE(OFFSET(T$54:T$56,-COUNTA($B$31:T$31),0))</f>
        <v>1.0019999999999998</v>
      </c>
      <c r="U57" s="351">
        <f ca="1">AVERAGE(OFFSET(U$54:U$56,-COUNTA($B$31:U$31),0))</f>
        <v>1.0016666666666667</v>
      </c>
      <c r="V57" s="351">
        <f ca="1">AVERAGE(OFFSET(V$54:V$56,-COUNTA($B$31:V$31),0))</f>
        <v>1.0016666666666667</v>
      </c>
      <c r="W57" s="351">
        <f ca="1">AVERAGE(OFFSET(W$54:W$56,-COUNTA($B$31:W$31),0))</f>
        <v>1.002</v>
      </c>
      <c r="X57" s="183"/>
    </row>
    <row r="58" spans="1:24">
      <c r="A58" s="181" t="s">
        <v>21</v>
      </c>
      <c r="B58" s="351">
        <f ca="1">B57*C58</f>
        <v>1.1611152499323829</v>
      </c>
      <c r="C58" s="351">
        <f t="shared" ref="C58:W58" ca="1" si="11">C57*D58</f>
        <v>1.1526623923882029</v>
      </c>
      <c r="D58" s="351">
        <f t="shared" ca="1" si="11"/>
        <v>1.1450288666107977</v>
      </c>
      <c r="E58" s="351">
        <f t="shared" ca="1" si="11"/>
        <v>1.1381996685992024</v>
      </c>
      <c r="F58" s="351">
        <f t="shared" ca="1" si="11"/>
        <v>1.1317862133899923</v>
      </c>
      <c r="G58" s="351">
        <f t="shared" ca="1" si="11"/>
        <v>1.1265290776940866</v>
      </c>
      <c r="H58" s="351">
        <f t="shared" ca="1" si="11"/>
        <v>1.1209244554170017</v>
      </c>
      <c r="I58" s="351">
        <f t="shared" ca="1" si="11"/>
        <v>1.1157177724787675</v>
      </c>
      <c r="J58" s="351">
        <f t="shared" ca="1" si="11"/>
        <v>1.1101669377898182</v>
      </c>
      <c r="K58" s="351">
        <f t="shared" ca="1" si="11"/>
        <v>1.1042774580137449</v>
      </c>
      <c r="L58" s="351">
        <f t="shared" ca="1" si="11"/>
        <v>1.0984192221622131</v>
      </c>
      <c r="M58" s="351">
        <f t="shared" ca="1" si="11"/>
        <v>1.0940430499623637</v>
      </c>
      <c r="N58" s="351">
        <f t="shared" ca="1" si="11"/>
        <v>1.0896843127115177</v>
      </c>
      <c r="O58" s="351">
        <f t="shared" ca="1" si="11"/>
        <v>1.0867862161351574</v>
      </c>
      <c r="P58" s="351">
        <f t="shared" ca="1" si="11"/>
        <v>1.0846169821708158</v>
      </c>
      <c r="Q58" s="351">
        <f t="shared" ca="1" si="11"/>
        <v>1.0813728635800757</v>
      </c>
      <c r="R58" s="351">
        <f t="shared" ca="1" si="11"/>
        <v>1.0795735742895929</v>
      </c>
      <c r="S58" s="351">
        <f t="shared" ca="1" si="11"/>
        <v>1.076702367974993</v>
      </c>
      <c r="T58" s="351">
        <f t="shared" ca="1" si="11"/>
        <v>1.0738387978474</v>
      </c>
      <c r="U58" s="351">
        <f t="shared" ca="1" si="11"/>
        <v>1.0716954070333335</v>
      </c>
      <c r="V58" s="351">
        <f t="shared" ca="1" si="11"/>
        <v>1.0699122200000002</v>
      </c>
      <c r="W58" s="351">
        <f t="shared" ca="1" si="11"/>
        <v>1.0681320000000001</v>
      </c>
      <c r="X58" s="350">
        <v>1.0660000000000001</v>
      </c>
    </row>
    <row r="59" spans="1:24">
      <c r="A59" s="186"/>
      <c r="B59" s="183"/>
      <c r="C59" s="183"/>
      <c r="D59" s="183"/>
      <c r="E59" s="183"/>
      <c r="F59" s="183"/>
      <c r="G59" s="183"/>
      <c r="H59" s="183"/>
      <c r="I59" s="183"/>
      <c r="J59" s="183"/>
      <c r="K59" s="183"/>
      <c r="L59" s="183"/>
      <c r="M59" s="183"/>
      <c r="N59" s="183"/>
      <c r="O59" s="183"/>
      <c r="P59" s="183"/>
      <c r="Q59" s="183"/>
      <c r="R59" s="183"/>
      <c r="S59" s="183"/>
      <c r="T59" s="183"/>
      <c r="U59" s="183"/>
      <c r="V59" s="183"/>
      <c r="W59" s="183"/>
      <c r="X59" s="183"/>
    </row>
    <row r="60" spans="1:24">
      <c r="A60" s="186"/>
      <c r="B60" s="183"/>
      <c r="C60" s="283"/>
      <c r="D60" s="283"/>
      <c r="E60" s="283"/>
      <c r="F60" s="283"/>
      <c r="G60" s="283"/>
      <c r="H60" s="283"/>
      <c r="I60" s="283"/>
      <c r="J60" s="283"/>
      <c r="K60" s="283"/>
      <c r="L60" s="283"/>
      <c r="M60" s="283"/>
      <c r="N60" s="283"/>
      <c r="O60" s="283"/>
      <c r="P60" s="183"/>
      <c r="Q60" s="183"/>
      <c r="R60" s="183"/>
      <c r="S60" s="183"/>
      <c r="T60" s="183"/>
      <c r="U60" s="183"/>
      <c r="V60" s="183"/>
      <c r="W60" s="183"/>
      <c r="X60" s="183"/>
    </row>
    <row r="61" spans="1:24" ht="12.75" customHeight="1">
      <c r="A61" s="15" t="s">
        <v>358</v>
      </c>
      <c r="B61" s="194" t="s">
        <v>417</v>
      </c>
      <c r="C61" s="194"/>
      <c r="D61" s="194"/>
      <c r="E61" s="194"/>
      <c r="F61" s="194"/>
      <c r="G61" s="194"/>
      <c r="H61" s="194"/>
      <c r="I61" s="194"/>
      <c r="J61" s="194"/>
      <c r="K61" s="194"/>
      <c r="L61" s="194"/>
      <c r="M61" s="194"/>
      <c r="N61" s="194"/>
      <c r="O61" s="194"/>
      <c r="P61" s="194"/>
      <c r="Q61" s="194"/>
      <c r="R61" s="278"/>
      <c r="S61" s="278"/>
      <c r="T61" s="278"/>
      <c r="U61" s="321"/>
      <c r="V61" s="331"/>
      <c r="W61" s="278"/>
      <c r="X61" s="278"/>
    </row>
    <row r="62" spans="1:24" ht="12.75" customHeight="1">
      <c r="A62" s="15"/>
      <c r="B62" s="194"/>
      <c r="C62" s="153"/>
      <c r="D62" s="295"/>
      <c r="E62" s="295"/>
      <c r="F62" s="295"/>
      <c r="G62" s="295"/>
      <c r="H62" s="295"/>
      <c r="I62" s="295"/>
      <c r="J62" s="295"/>
      <c r="K62" s="295"/>
      <c r="L62" s="295"/>
      <c r="M62" s="295"/>
      <c r="N62" s="295"/>
      <c r="O62" s="295"/>
      <c r="P62" s="295"/>
      <c r="Q62" s="295"/>
      <c r="R62" s="295"/>
      <c r="S62" s="295"/>
      <c r="T62" s="295"/>
      <c r="U62" s="295"/>
      <c r="V62" s="295"/>
      <c r="W62" s="295"/>
      <c r="X62" s="76"/>
    </row>
    <row r="63" spans="1:24">
      <c r="A63" s="281"/>
      <c r="B63" s="194"/>
      <c r="C63" s="281"/>
      <c r="D63" s="281"/>
      <c r="E63" s="281"/>
      <c r="F63" s="281"/>
      <c r="G63" s="281"/>
      <c r="H63" s="281"/>
      <c r="I63" s="281"/>
      <c r="J63" s="281"/>
      <c r="K63" s="281"/>
      <c r="L63" s="281"/>
      <c r="M63" s="281"/>
      <c r="N63" s="281"/>
      <c r="O63" s="281"/>
      <c r="P63" s="281"/>
      <c r="Q63" s="281"/>
      <c r="R63" s="281"/>
      <c r="S63" s="281"/>
      <c r="T63" s="281"/>
      <c r="U63" s="323"/>
      <c r="V63" s="323"/>
      <c r="W63" s="281"/>
      <c r="X63" s="281"/>
    </row>
  </sheetData>
  <pageMargins left="0.7" right="0.7" top="0.75" bottom="0.75" header="0.3" footer="0.3"/>
  <pageSetup scale="61" orientation="landscape" blackAndWhite="1" horizontalDpi="1200" verticalDpi="1200"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28</vt:i4>
      </vt:variant>
    </vt:vector>
  </HeadingPairs>
  <TitlesOfParts>
    <vt:vector size="61" baseType="lpstr">
      <vt:lpstr>Exhibit 1</vt:lpstr>
      <vt:lpstr>Exhibit 2.1.1</vt:lpstr>
      <vt:lpstr>Exhibit 2.1.2</vt:lpstr>
      <vt:lpstr>Exhibit 2.2.1</vt:lpstr>
      <vt:lpstr>Exhibit 2.2.2</vt:lpstr>
      <vt:lpstr>Exhibit 2.3.1</vt:lpstr>
      <vt:lpstr>Exhibit 2.3.2</vt:lpstr>
      <vt:lpstr>Exhibit 2.4.1</vt:lpstr>
      <vt:lpstr>Exhibit 2.4.2</vt:lpstr>
      <vt:lpstr>Exhibit 2.5.1</vt:lpstr>
      <vt:lpstr>Exhibit 2.5.2</vt:lpstr>
      <vt:lpstr>Exhibits 2.5.3 - 2.5.6</vt:lpstr>
      <vt:lpstr>Exhibit 2.6.1</vt:lpstr>
      <vt:lpstr>Exhibit 2.6.2</vt:lpstr>
      <vt:lpstr>Exhibit 3.1</vt:lpstr>
      <vt:lpstr>Exhibit 3.2</vt:lpstr>
      <vt:lpstr>Exhibit 3.3</vt:lpstr>
      <vt:lpstr>Exhibit 3.4</vt:lpstr>
      <vt:lpstr>Exhibit 4.1</vt:lpstr>
      <vt:lpstr>Exhibit 4.2</vt:lpstr>
      <vt:lpstr>Exhibit 4.3</vt:lpstr>
      <vt:lpstr>Exhibit 4.4</vt:lpstr>
      <vt:lpstr>Exhibit 5.1</vt:lpstr>
      <vt:lpstr>Exhibit 5.2</vt:lpstr>
      <vt:lpstr>Exhibit 6.1</vt:lpstr>
      <vt:lpstr>Exhibit 6.2</vt:lpstr>
      <vt:lpstr>Exhibit 6.3</vt:lpstr>
      <vt:lpstr>Exhibit 6.4</vt:lpstr>
      <vt:lpstr>Exhibit 7.1</vt:lpstr>
      <vt:lpstr>Exhibit 7.2</vt:lpstr>
      <vt:lpstr>Exhibit 7.3</vt:lpstr>
      <vt:lpstr>Exhibit 7.4</vt:lpstr>
      <vt:lpstr>Exhibit 8</vt:lpstr>
      <vt:lpstr>'Exhibit 1'!Print_Area</vt:lpstr>
      <vt:lpstr>'Exhibit 2.1.2'!Print_Area</vt:lpstr>
      <vt:lpstr>'Exhibit 2.2.2'!Print_Area</vt:lpstr>
      <vt:lpstr>'Exhibit 2.3.2'!Print_Area</vt:lpstr>
      <vt:lpstr>'Exhibit 2.4.1'!Print_Area</vt:lpstr>
      <vt:lpstr>'Exhibit 2.5.1'!Print_Area</vt:lpstr>
      <vt:lpstr>'Exhibit 2.5.2'!Print_Area</vt:lpstr>
      <vt:lpstr>'Exhibit 2.6.1'!Print_Area</vt:lpstr>
      <vt:lpstr>'Exhibit 3.1'!Print_Area</vt:lpstr>
      <vt:lpstr>'Exhibit 3.2'!Print_Area</vt:lpstr>
      <vt:lpstr>'Exhibit 3.3'!Print_Area</vt:lpstr>
      <vt:lpstr>'Exhibit 3.4'!Print_Area</vt:lpstr>
      <vt:lpstr>'Exhibit 4.1'!Print_Area</vt:lpstr>
      <vt:lpstr>'Exhibit 4.2'!Print_Area</vt:lpstr>
      <vt:lpstr>'Exhibit 4.3'!Print_Area</vt:lpstr>
      <vt:lpstr>'Exhibit 4.4'!Print_Area</vt:lpstr>
      <vt:lpstr>'Exhibit 5.1'!Print_Area</vt:lpstr>
      <vt:lpstr>'Exhibit 5.2'!Print_Area</vt:lpstr>
      <vt:lpstr>'Exhibit 6.1'!Print_Area</vt:lpstr>
      <vt:lpstr>'Exhibit 6.2'!Print_Area</vt:lpstr>
      <vt:lpstr>'Exhibit 6.3'!Print_Area</vt:lpstr>
      <vt:lpstr>'Exhibit 6.4'!Print_Area</vt:lpstr>
      <vt:lpstr>'Exhibit 7.1'!Print_Area</vt:lpstr>
      <vt:lpstr>'Exhibit 7.2'!Print_Area</vt:lpstr>
      <vt:lpstr>'Exhibit 7.3'!Print_Area</vt:lpstr>
      <vt:lpstr>'Exhibit 7.4'!Print_Area</vt:lpstr>
      <vt:lpstr>'Exhibit 8'!Print_Area</vt:lpstr>
      <vt:lpstr>'Exhibits 2.5.3 - 2.5.6'!Print_Area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 Wong</dc:creator>
  <cp:lastModifiedBy>Tony Milano</cp:lastModifiedBy>
  <cp:lastPrinted>2024-05-07T20:46:52Z</cp:lastPrinted>
  <dcterms:created xsi:type="dcterms:W3CDTF">2016-01-21T17:50:16Z</dcterms:created>
  <dcterms:modified xsi:type="dcterms:W3CDTF">2024-05-07T21:59:44Z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2020-11-17T01:50:38Z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18f4951e-b126-4a61-b1f5-ff0df5022ddf</vt:lpwstr>
  </property>
  <property fmtid="{D5CDD505-2E9C-101B-9397-08002B2CF9AE}" pid="8" name="MSIP_Label_39f8a7aa-03d8-4d7e-81ce-cbbd96e8ad1d_ContentBits">
    <vt:lpwstr>0</vt:lpwstr>
  </property>
</Properties>
</file>