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mc:AlternateContent xmlns:mc="http://schemas.openxmlformats.org/markup-compatibility/2006">
    <mc:Choice Requires="x15">
      <x15ac:absPath xmlns:x15ac="http://schemas.microsoft.com/office/spreadsheetml/2010/11/ac" url="\\Actuarial\Public\AC1000R\Dec20\9-1-21 Filing\Hardcoded Excel Version\"/>
    </mc:Choice>
  </mc:AlternateContent>
  <xr:revisionPtr revIDLastSave="0" documentId="8_{EFCBAF34-7834-4989-9860-9961C77E1282}" xr6:coauthVersionLast="45" xr6:coauthVersionMax="45" xr10:uidLastSave="{00000000-0000-0000-0000-000000000000}"/>
  <bookViews>
    <workbookView xWindow="-110" yWindow="-110" windowWidth="19420" windowHeight="10420" tabRatio="834" xr2:uid="{00000000-000D-0000-FFFF-FFFF00000000}"/>
  </bookViews>
  <sheets>
    <sheet name="Exhibit 1" sheetId="1" r:id="rId1"/>
    <sheet name="Exhibit 2.1.1" sheetId="2" r:id="rId2"/>
    <sheet name="Exhibit 2.1.2" sheetId="19" r:id="rId3"/>
    <sheet name="Exhibit 2.2.1" sheetId="10" r:id="rId4"/>
    <sheet name="Exhibit 2.2.2" sheetId="20" r:id="rId5"/>
    <sheet name="Exhibit 2.3.1" sheetId="11" r:id="rId6"/>
    <sheet name="Exhibit 2.3.2" sheetId="21" r:id="rId7"/>
    <sheet name="Exhibit 2.4.1" sheetId="12" r:id="rId8"/>
    <sheet name="Exhibit 2.4.2" sheetId="15" r:id="rId9"/>
    <sheet name="Exhibit 2.5.1" sheetId="13" r:id="rId10"/>
    <sheet name="Exhibit 2.5.2" sheetId="14" r:id="rId11"/>
    <sheet name="Exhibits 2.5.3 - 2.5.8" sheetId="43" r:id="rId12"/>
    <sheet name="Exhibits 2.5.9 - 2.5.12" sheetId="42" r:id="rId13"/>
    <sheet name="Exhibit 2.6.1" sheetId="16" r:id="rId14"/>
    <sheet name="Exhibit 2.6.2" sheetId="17" r:id="rId15"/>
    <sheet name="Exhibits 2.6.3 - 2.6.8" sheetId="44" r:id="rId16"/>
    <sheet name="Exhibit 3.1" sheetId="3" r:id="rId17"/>
    <sheet name="Exhibit 3.2" sheetId="18" r:id="rId18"/>
    <sheet name="Exhibit 4.1" sheetId="4" r:id="rId19"/>
    <sheet name="Exhibit 4.2" sheetId="22" r:id="rId20"/>
    <sheet name="Exhibit 4.3" sheetId="23" r:id="rId21"/>
    <sheet name="Exhibit 4.4" sheetId="24" r:id="rId22"/>
    <sheet name="Exhibit 5.1" sheetId="5" r:id="rId23"/>
    <sheet name="Exhibit 5.2" sheetId="25" r:id="rId24"/>
    <sheet name="Exhibit 6.1" sheetId="6" r:id="rId25"/>
    <sheet name="Exhibit 6.2" sheetId="26" r:id="rId26"/>
    <sheet name="Exhibit 6.3" sheetId="27" r:id="rId27"/>
    <sheet name="Exhibit 6.4" sheetId="28" r:id="rId28"/>
    <sheet name="Exhibit 7.1" sheetId="7" r:id="rId29"/>
    <sheet name="Exhibit 7.3" sheetId="29" r:id="rId30"/>
    <sheet name="Exhibit 8" sheetId="8" r:id="rId31"/>
  </sheets>
  <definedNames>
    <definedName name="_xlnm.Print_Area" localSheetId="0">'Exhibit 1'!$A$1:$I$48</definedName>
    <definedName name="_xlnm.Print_Area" localSheetId="6">'Exhibit 2.3.2'!$A$1:$U$32</definedName>
    <definedName name="_xlnm.Print_Area" localSheetId="7">'Exhibit 2.4.1'!$A$1:$Q$64</definedName>
    <definedName name="_xlnm.Print_Area" localSheetId="9">'Exhibit 2.5.1'!$A$1:$V$37</definedName>
    <definedName name="_xlnm.Print_Area" localSheetId="10">'Exhibit 2.5.2'!$A$1:$P$29</definedName>
    <definedName name="_xlnm.Print_Area" localSheetId="13">'Exhibit 2.6.1'!$A$1:$V$44</definedName>
    <definedName name="_xlnm.Print_Area" localSheetId="16">'Exhibit 3.1'!$A$1:$G$46</definedName>
    <definedName name="_xlnm.Print_Area" localSheetId="17">'Exhibit 3.2'!$A$1:$H$50</definedName>
    <definedName name="_xlnm.Print_Area" localSheetId="18">'Exhibit 4.1'!$A$1:$M$51</definedName>
    <definedName name="_xlnm.Print_Area" localSheetId="19">'Exhibit 4.2'!$A$1:$L$50</definedName>
    <definedName name="_xlnm.Print_Area" localSheetId="20">'Exhibit 4.3'!$A$1:$H$48</definedName>
    <definedName name="_xlnm.Print_Area" localSheetId="21">'Exhibit 4.4'!$A$1:$I$50</definedName>
    <definedName name="_xlnm.Print_Area" localSheetId="22">'Exhibit 5.1'!$A$1:$G$52</definedName>
    <definedName name="_xlnm.Print_Area" localSheetId="23">'Exhibit 5.2'!$A$1:$S$60</definedName>
    <definedName name="_xlnm.Print_Area" localSheetId="24">'Exhibit 6.1'!$A$1:$I$75</definedName>
    <definedName name="_xlnm.Print_Area" localSheetId="27">'Exhibit 6.4'!$A$1:$Q$42</definedName>
    <definedName name="_xlnm.Print_Area" localSheetId="28">'Exhibit 7.1'!$A$1:$J$53</definedName>
    <definedName name="_xlnm.Print_Area" localSheetId="29">'Exhibit 7.3'!$A$1:$I$54</definedName>
    <definedName name="_xlnm.Print_Area" localSheetId="30">'Exhibit 8'!$A$1:$O$30</definedName>
    <definedName name="_xlnm.Print_Area" localSheetId="11">'Exhibits 2.5.3 - 2.5.8'!$A$1:$L$343</definedName>
    <definedName name="_xlnm.Print_Area" localSheetId="12">'Exhibits 2.5.9 - 2.5.12'!$A$1:$M$225</definedName>
    <definedName name="_xlnm.Print_Area" localSheetId="15">'Exhibits 2.6.3 - 2.6.8'!$A$1:$L$349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1" i="28" l="1"/>
  <c r="E21" i="3"/>
  <c r="E20" i="3"/>
  <c r="E19" i="3"/>
  <c r="E18" i="3"/>
  <c r="E17" i="3"/>
  <c r="E16" i="3"/>
  <c r="E15" i="3"/>
  <c r="E14" i="3"/>
  <c r="E13" i="3"/>
  <c r="E12" i="3"/>
  <c r="E11" i="3"/>
  <c r="E10" i="3"/>
  <c r="E22" i="3"/>
  <c r="D21" i="3"/>
  <c r="D20" i="3"/>
  <c r="D19" i="3"/>
  <c r="D18" i="3"/>
  <c r="D17" i="3"/>
  <c r="D16" i="3"/>
  <c r="D15" i="3"/>
  <c r="D14" i="3"/>
  <c r="D13" i="3"/>
  <c r="D12" i="3"/>
  <c r="D11" i="3"/>
  <c r="D10" i="3"/>
  <c r="D22" i="3"/>
  <c r="A27" i="16" l="1"/>
  <c r="A26" i="16" s="1"/>
  <c r="A25" i="16" s="1"/>
  <c r="A24" i="16" s="1"/>
  <c r="A23" i="16" s="1"/>
  <c r="A22" i="16" s="1"/>
  <c r="A21" i="16" s="1"/>
  <c r="A20" i="16" s="1"/>
  <c r="A19" i="16" s="1"/>
  <c r="A18" i="16" s="1"/>
  <c r="A17" i="16" s="1"/>
  <c r="A16" i="16" s="1"/>
  <c r="A15" i="16" s="1"/>
  <c r="A14" i="16" s="1"/>
  <c r="A13" i="16" s="1"/>
  <c r="A12" i="16" s="1"/>
  <c r="A11" i="16" s="1"/>
  <c r="A10" i="16" s="1"/>
  <c r="A9" i="16" s="1"/>
  <c r="A8" i="16" s="1"/>
  <c r="A7" i="16" s="1"/>
  <c r="A6" i="16" s="1"/>
  <c r="A5" i="16" s="1"/>
  <c r="B135" i="42" l="1"/>
  <c r="B136" i="42"/>
  <c r="B99" i="42"/>
  <c r="B100" i="42"/>
  <c r="D40" i="44" l="1"/>
  <c r="E40" i="44" s="1"/>
  <c r="F40" i="44" s="1"/>
  <c r="G40" i="44" s="1"/>
  <c r="H40" i="44" s="1"/>
  <c r="I40" i="44" s="1"/>
  <c r="J40" i="44" s="1"/>
  <c r="O24" i="8" l="1"/>
  <c r="M19" i="8"/>
  <c r="M16" i="8"/>
  <c r="M44" i="29"/>
  <c r="L44" i="29"/>
  <c r="K44" i="29"/>
  <c r="A43" i="29"/>
  <c r="E43" i="29" s="1"/>
  <c r="A42" i="29"/>
  <c r="E42" i="29" s="1"/>
  <c r="M44" i="7"/>
  <c r="K44" i="7"/>
  <c r="A43" i="7"/>
  <c r="A42" i="7"/>
  <c r="P33" i="28"/>
  <c r="P32" i="28"/>
  <c r="H33" i="28"/>
  <c r="H32" i="28"/>
  <c r="A33" i="28"/>
  <c r="A32" i="28"/>
  <c r="J28" i="28"/>
  <c r="N28" i="28" s="1"/>
  <c r="P28" i="28" s="1"/>
  <c r="F28" i="28"/>
  <c r="H28" i="28" s="1"/>
  <c r="D28" i="28"/>
  <c r="J27" i="28"/>
  <c r="N27" i="28" s="1"/>
  <c r="P27" i="28" s="1"/>
  <c r="F27" i="28"/>
  <c r="H27" i="28" s="1"/>
  <c r="D27" i="28"/>
  <c r="A26" i="28"/>
  <c r="A27" i="28" s="1"/>
  <c r="A28" i="28" s="1"/>
  <c r="J40" i="27"/>
  <c r="L40" i="27" s="1"/>
  <c r="J39" i="27"/>
  <c r="L39" i="27" s="1"/>
  <c r="J38" i="27"/>
  <c r="L38" i="27" s="1"/>
  <c r="J37" i="27"/>
  <c r="F40" i="27"/>
  <c r="F39" i="27"/>
  <c r="F38" i="27"/>
  <c r="F37" i="27"/>
  <c r="B39" i="27"/>
  <c r="B38" i="27"/>
  <c r="L44" i="26"/>
  <c r="L43" i="26"/>
  <c r="C44" i="26"/>
  <c r="C43" i="26"/>
  <c r="L40" i="26"/>
  <c r="L39" i="26"/>
  <c r="L38" i="26"/>
  <c r="L37" i="26"/>
  <c r="J40" i="26"/>
  <c r="J39" i="26"/>
  <c r="J38" i="26"/>
  <c r="J37" i="26"/>
  <c r="F40" i="26"/>
  <c r="F39" i="26"/>
  <c r="F38" i="26"/>
  <c r="B39" i="26"/>
  <c r="B40" i="26" s="1"/>
  <c r="O44" i="25"/>
  <c r="O43" i="25"/>
  <c r="I44" i="25"/>
  <c r="I43" i="25"/>
  <c r="A44" i="25"/>
  <c r="C44" i="25" s="1"/>
  <c r="A43" i="25"/>
  <c r="C43" i="25" s="1"/>
  <c r="G42" i="5"/>
  <c r="S44" i="25" l="1"/>
  <c r="S43" i="25"/>
  <c r="E43" i="7"/>
  <c r="E42" i="7"/>
  <c r="L28" i="28"/>
  <c r="L27" i="28"/>
  <c r="G41" i="5"/>
  <c r="G40" i="5" s="1"/>
  <c r="G8" i="5"/>
  <c r="I42" i="24"/>
  <c r="I41" i="24"/>
  <c r="I40" i="24" s="1"/>
  <c r="I43" i="24"/>
  <c r="A43" i="24"/>
  <c r="E43" i="24" s="1"/>
  <c r="G42" i="23"/>
  <c r="A42" i="23"/>
  <c r="J44" i="22"/>
  <c r="J43" i="22"/>
  <c r="J42" i="22"/>
  <c r="J41" i="22"/>
  <c r="L42" i="22"/>
  <c r="D42" i="22"/>
  <c r="A42" i="22"/>
  <c r="L44" i="4"/>
  <c r="L43" i="4" s="1"/>
  <c r="L42" i="4" s="1"/>
  <c r="J43" i="4"/>
  <c r="B44" i="4"/>
  <c r="B43" i="4"/>
  <c r="B12" i="18"/>
  <c r="B13" i="18"/>
  <c r="A13" i="18"/>
  <c r="F22" i="3"/>
  <c r="C43" i="3"/>
  <c r="C42" i="3"/>
  <c r="C41" i="3"/>
  <c r="C40" i="3"/>
  <c r="C39" i="3"/>
  <c r="C38" i="3"/>
  <c r="C37" i="3"/>
  <c r="C36" i="3"/>
  <c r="C35" i="3"/>
  <c r="C34" i="3"/>
  <c r="C33" i="3"/>
  <c r="C32" i="3"/>
  <c r="C31" i="3"/>
  <c r="C30" i="3"/>
  <c r="C29" i="3"/>
  <c r="C28" i="3"/>
  <c r="C27" i="3"/>
  <c r="C26" i="3"/>
  <c r="C25" i="3"/>
  <c r="C24" i="3"/>
  <c r="C23" i="3"/>
  <c r="C22" i="3"/>
  <c r="C21" i="3"/>
  <c r="C20" i="3"/>
  <c r="C19" i="3"/>
  <c r="C18" i="3"/>
  <c r="C17" i="3"/>
  <c r="C16" i="3"/>
  <c r="C15" i="3"/>
  <c r="C14" i="3"/>
  <c r="C13" i="3"/>
  <c r="C12" i="3"/>
  <c r="C11" i="3"/>
  <c r="C10" i="3"/>
  <c r="D43" i="3"/>
  <c r="D42" i="3"/>
  <c r="D41" i="3"/>
  <c r="B43" i="3"/>
  <c r="B42" i="3"/>
  <c r="H29" i="16"/>
  <c r="I29" i="16"/>
  <c r="O25" i="17"/>
  <c r="N25" i="17" s="1"/>
  <c r="M25" i="17" s="1"/>
  <c r="L25" i="17" s="1"/>
  <c r="O23" i="17"/>
  <c r="N23" i="17"/>
  <c r="A18" i="17"/>
  <c r="A17" i="17"/>
  <c r="A16" i="17" s="1"/>
  <c r="A15" i="17" s="1"/>
  <c r="A14" i="17" s="1"/>
  <c r="A13" i="17" s="1"/>
  <c r="A12" i="17" s="1"/>
  <c r="A11" i="17" s="1"/>
  <c r="A10" i="17" s="1"/>
  <c r="A9" i="17" s="1"/>
  <c r="A8" i="17" s="1"/>
  <c r="A7" i="17" s="1"/>
  <c r="A6" i="17" s="1"/>
  <c r="A5" i="17" s="1"/>
  <c r="A19" i="17"/>
  <c r="H32" i="13"/>
  <c r="I32" i="13"/>
  <c r="A47" i="16"/>
  <c r="I279" i="44"/>
  <c r="I318" i="44" s="1"/>
  <c r="I278" i="44"/>
  <c r="I317" i="44" s="1"/>
  <c r="H279" i="44"/>
  <c r="H318" i="44" s="1"/>
  <c r="J147" i="44"/>
  <c r="J146" i="44"/>
  <c r="J145" i="44"/>
  <c r="I131" i="44"/>
  <c r="I147" i="44" s="1"/>
  <c r="I130" i="44"/>
  <c r="I146" i="44" s="1"/>
  <c r="H131" i="44"/>
  <c r="H147" i="44" s="1"/>
  <c r="J132" i="44"/>
  <c r="I133" i="44"/>
  <c r="H134" i="44"/>
  <c r="G135" i="44"/>
  <c r="F136" i="44"/>
  <c r="E137" i="44"/>
  <c r="D138" i="44"/>
  <c r="I343" i="44"/>
  <c r="H343" i="44"/>
  <c r="G343" i="44"/>
  <c r="F343" i="44"/>
  <c r="E343" i="44"/>
  <c r="D343" i="44"/>
  <c r="I342" i="44"/>
  <c r="G47" i="16" s="1"/>
  <c r="H342" i="44"/>
  <c r="G342" i="44"/>
  <c r="F342" i="44"/>
  <c r="E342" i="44"/>
  <c r="D342" i="44"/>
  <c r="I341" i="44"/>
  <c r="H341" i="44"/>
  <c r="G341" i="44"/>
  <c r="F341" i="44"/>
  <c r="E341" i="44"/>
  <c r="D341" i="44"/>
  <c r="J41" i="44"/>
  <c r="I29" i="44"/>
  <c r="I36" i="44" s="1"/>
  <c r="I37" i="44" s="1"/>
  <c r="I41" i="44" s="1"/>
  <c r="I28" i="44"/>
  <c r="I27" i="44"/>
  <c r="H30" i="44"/>
  <c r="H36" i="44" s="1"/>
  <c r="H37" i="44" s="1"/>
  <c r="H29" i="44"/>
  <c r="H28" i="44"/>
  <c r="G31" i="44"/>
  <c r="G36" i="44" s="1"/>
  <c r="G30" i="44"/>
  <c r="G29" i="44"/>
  <c r="F32" i="44"/>
  <c r="F36" i="44" s="1"/>
  <c r="F31" i="44"/>
  <c r="F30" i="44"/>
  <c r="E33" i="44"/>
  <c r="E36" i="44" s="1"/>
  <c r="E32" i="44"/>
  <c r="E31" i="44"/>
  <c r="D33" i="44"/>
  <c r="D32" i="44"/>
  <c r="D34" i="44"/>
  <c r="D36" i="44" s="1"/>
  <c r="C19" i="44"/>
  <c r="C56" i="44" s="1"/>
  <c r="E9" i="44"/>
  <c r="E46" i="44" s="1"/>
  <c r="E69" i="44" s="1"/>
  <c r="C57" i="44"/>
  <c r="C57" i="16"/>
  <c r="C56" i="16"/>
  <c r="C55" i="16"/>
  <c r="C54" i="16"/>
  <c r="C53" i="16"/>
  <c r="C52" i="16"/>
  <c r="A57" i="16"/>
  <c r="A56" i="16"/>
  <c r="A55" i="16"/>
  <c r="A54" i="16"/>
  <c r="A53" i="16"/>
  <c r="A52" i="16"/>
  <c r="B57" i="16"/>
  <c r="B56" i="16"/>
  <c r="B55" i="16"/>
  <c r="B54" i="16"/>
  <c r="B53" i="16"/>
  <c r="B52" i="16"/>
  <c r="A14" i="18" l="1"/>
  <c r="G37" i="44"/>
  <c r="H41" i="44"/>
  <c r="C18" i="44"/>
  <c r="C17" i="44" s="1"/>
  <c r="C43" i="24"/>
  <c r="G43" i="24" s="1"/>
  <c r="C16" i="44"/>
  <c r="C53" i="44" s="1"/>
  <c r="C54" i="44"/>
  <c r="C77" i="44" s="1"/>
  <c r="C79" i="44"/>
  <c r="F9" i="44"/>
  <c r="E101" i="44"/>
  <c r="E127" i="44" s="1"/>
  <c r="E85" i="44"/>
  <c r="C80" i="44"/>
  <c r="C34" i="44"/>
  <c r="D25" i="44"/>
  <c r="C32" i="44"/>
  <c r="E25" i="44"/>
  <c r="C33" i="44"/>
  <c r="D46" i="44"/>
  <c r="D69" i="44" s="1"/>
  <c r="C111" i="44" l="1"/>
  <c r="C55" i="44"/>
  <c r="C78" i="44" s="1"/>
  <c r="F37" i="44"/>
  <c r="G41" i="44"/>
  <c r="D77" i="44" s="1"/>
  <c r="C95" i="44"/>
  <c r="C31" i="44"/>
  <c r="C15" i="44"/>
  <c r="F46" i="44"/>
  <c r="F69" i="44" s="1"/>
  <c r="G9" i="44"/>
  <c r="F25" i="44"/>
  <c r="E159" i="44"/>
  <c r="E185" i="44" s="1"/>
  <c r="E143" i="44"/>
  <c r="D101" i="44"/>
  <c r="D127" i="44" s="1"/>
  <c r="D85" i="44"/>
  <c r="C137" i="44"/>
  <c r="C76" i="44"/>
  <c r="C94" i="44"/>
  <c r="C110" i="44"/>
  <c r="C112" i="44"/>
  <c r="C96" i="44"/>
  <c r="C93" i="44"/>
  <c r="C109" i="44"/>
  <c r="E77" i="44" l="1"/>
  <c r="F77" i="44"/>
  <c r="E76" i="44"/>
  <c r="H76" i="44"/>
  <c r="F76" i="44"/>
  <c r="G76" i="44"/>
  <c r="E37" i="44"/>
  <c r="E41" i="44" s="1"/>
  <c r="F41" i="44"/>
  <c r="F78" i="44" s="1"/>
  <c r="G77" i="44"/>
  <c r="G92" i="44" s="1"/>
  <c r="G134" i="44" s="1"/>
  <c r="G150" i="44" s="1"/>
  <c r="G267" i="44" s="1"/>
  <c r="C52" i="44"/>
  <c r="C14" i="44"/>
  <c r="C30" i="44"/>
  <c r="H9" i="44"/>
  <c r="G46" i="44"/>
  <c r="G69" i="44" s="1"/>
  <c r="G25" i="44"/>
  <c r="F101" i="44"/>
  <c r="F127" i="44" s="1"/>
  <c r="F85" i="44"/>
  <c r="D143" i="44"/>
  <c r="D159" i="44"/>
  <c r="D185" i="44" s="1"/>
  <c r="C108" i="44"/>
  <c r="C92" i="44"/>
  <c r="C135" i="44"/>
  <c r="C136" i="44"/>
  <c r="C153" i="44"/>
  <c r="C169" i="44"/>
  <c r="E202" i="44"/>
  <c r="E217" i="44"/>
  <c r="E244" i="44" s="1"/>
  <c r="E260" i="44" s="1"/>
  <c r="C138" i="44"/>
  <c r="F94" i="44" l="1"/>
  <c r="F152" i="44" s="1"/>
  <c r="F269" i="44" s="1"/>
  <c r="F93" i="44"/>
  <c r="F135" i="44" s="1"/>
  <c r="F151" i="44" s="1"/>
  <c r="F268" i="44" s="1"/>
  <c r="E79" i="44"/>
  <c r="D79" i="44"/>
  <c r="H92" i="44"/>
  <c r="H150" i="44" s="1"/>
  <c r="H267" i="44" s="1"/>
  <c r="G282" i="44" s="1"/>
  <c r="E78" i="44"/>
  <c r="D78" i="44"/>
  <c r="F92" i="44"/>
  <c r="F134" i="44" s="1"/>
  <c r="F150" i="44" s="1"/>
  <c r="F267" i="44" s="1"/>
  <c r="F282" i="44" s="1"/>
  <c r="F321" i="44" s="1"/>
  <c r="G93" i="44"/>
  <c r="G151" i="44" s="1"/>
  <c r="G268" i="44" s="1"/>
  <c r="C51" i="44"/>
  <c r="C13" i="44"/>
  <c r="C29" i="44"/>
  <c r="C75" i="44"/>
  <c r="F143" i="44"/>
  <c r="F159" i="44"/>
  <c r="F185" i="44" s="1"/>
  <c r="G85" i="44"/>
  <c r="G101" i="44"/>
  <c r="G127" i="44" s="1"/>
  <c r="I9" i="44"/>
  <c r="H25" i="44" s="1"/>
  <c r="H46" i="44"/>
  <c r="H69" i="44" s="1"/>
  <c r="C170" i="44"/>
  <c r="C154" i="44"/>
  <c r="C168" i="44"/>
  <c r="C152" i="44"/>
  <c r="C151" i="44"/>
  <c r="C167" i="44"/>
  <c r="C134" i="44"/>
  <c r="C195" i="44"/>
  <c r="D202" i="44"/>
  <c r="D217" i="44"/>
  <c r="D244" i="44" s="1"/>
  <c r="D260" i="44" s="1"/>
  <c r="D276" i="44" s="1"/>
  <c r="D301" i="44" s="1"/>
  <c r="D315" i="44" s="1"/>
  <c r="D330" i="44" s="1"/>
  <c r="B46" i="16" s="1"/>
  <c r="I75" i="44" l="1"/>
  <c r="G75" i="44"/>
  <c r="H75" i="44"/>
  <c r="F75" i="44"/>
  <c r="G287" i="44"/>
  <c r="G321" i="44"/>
  <c r="E94" i="44"/>
  <c r="E136" i="44" s="1"/>
  <c r="E152" i="44" s="1"/>
  <c r="E269" i="44" s="1"/>
  <c r="E284" i="44" s="1"/>
  <c r="E95" i="44"/>
  <c r="E153" i="44" s="1"/>
  <c r="E270" i="44" s="1"/>
  <c r="E93" i="44"/>
  <c r="E135" i="44" s="1"/>
  <c r="E151" i="44" s="1"/>
  <c r="E268" i="44" s="1"/>
  <c r="E283" i="44" s="1"/>
  <c r="E322" i="44" s="1"/>
  <c r="F283" i="44"/>
  <c r="E92" i="44"/>
  <c r="E134" i="44" s="1"/>
  <c r="E150" i="44" s="1"/>
  <c r="E267" i="44" s="1"/>
  <c r="E282" i="44" s="1"/>
  <c r="E321" i="44" s="1"/>
  <c r="C12" i="44"/>
  <c r="C50" i="44"/>
  <c r="C28" i="44"/>
  <c r="C107" i="44"/>
  <c r="C91" i="44"/>
  <c r="C74" i="44"/>
  <c r="I46" i="44"/>
  <c r="I69" i="44" s="1"/>
  <c r="J9" i="44"/>
  <c r="J46" i="44" s="1"/>
  <c r="J69" i="44" s="1"/>
  <c r="I25" i="44"/>
  <c r="J25" i="44" s="1"/>
  <c r="G159" i="44"/>
  <c r="G185" i="44" s="1"/>
  <c r="G143" i="44"/>
  <c r="H85" i="44"/>
  <c r="H101" i="44"/>
  <c r="H127" i="44" s="1"/>
  <c r="F202" i="44"/>
  <c r="F217" i="44"/>
  <c r="F244" i="44" s="1"/>
  <c r="F260" i="44" s="1"/>
  <c r="E276" i="44" s="1"/>
  <c r="E301" i="44" s="1"/>
  <c r="E315" i="44" s="1"/>
  <c r="E330" i="44" s="1"/>
  <c r="C46" i="16" s="1"/>
  <c r="C193" i="44"/>
  <c r="C166" i="44"/>
  <c r="C150" i="44"/>
  <c r="C227" i="44"/>
  <c r="C212" i="44"/>
  <c r="C194" i="44"/>
  <c r="C196" i="44"/>
  <c r="E323" i="44" l="1"/>
  <c r="E287" i="44"/>
  <c r="G74" i="44"/>
  <c r="I74" i="44"/>
  <c r="H74" i="44"/>
  <c r="J74" i="44"/>
  <c r="J90" i="44" s="1"/>
  <c r="J148" i="44" s="1"/>
  <c r="J265" i="44" s="1"/>
  <c r="F91" i="44"/>
  <c r="F133" i="44" s="1"/>
  <c r="F149" i="44" s="1"/>
  <c r="F266" i="44" s="1"/>
  <c r="G91" i="44"/>
  <c r="G133" i="44" s="1"/>
  <c r="G149" i="44" s="1"/>
  <c r="G266" i="44" s="1"/>
  <c r="H91" i="44"/>
  <c r="H133" i="44" s="1"/>
  <c r="H149" i="44" s="1"/>
  <c r="H266" i="44" s="1"/>
  <c r="F322" i="44"/>
  <c r="F287" i="44"/>
  <c r="I91" i="44"/>
  <c r="I149" i="44" s="1"/>
  <c r="I266" i="44" s="1"/>
  <c r="C133" i="44"/>
  <c r="C90" i="44"/>
  <c r="C106" i="44"/>
  <c r="C73" i="44"/>
  <c r="C49" i="44"/>
  <c r="C11" i="44"/>
  <c r="C27" i="44"/>
  <c r="H159" i="44"/>
  <c r="H185" i="44" s="1"/>
  <c r="H143" i="44"/>
  <c r="G217" i="44"/>
  <c r="G244" i="44" s="1"/>
  <c r="G260" i="44" s="1"/>
  <c r="G202" i="44"/>
  <c r="J85" i="44"/>
  <c r="J101" i="44"/>
  <c r="J127" i="44" s="1"/>
  <c r="I85" i="44"/>
  <c r="I101" i="44"/>
  <c r="I127" i="44" s="1"/>
  <c r="C228" i="44"/>
  <c r="C192" i="44"/>
  <c r="C225" i="44"/>
  <c r="C210" i="44"/>
  <c r="C226" i="44"/>
  <c r="C211" i="44"/>
  <c r="C254" i="44"/>
  <c r="H90" i="44" l="1"/>
  <c r="H132" i="44" s="1"/>
  <c r="H148" i="44" s="1"/>
  <c r="H265" i="44" s="1"/>
  <c r="G90" i="44"/>
  <c r="G132" i="44" s="1"/>
  <c r="G148" i="44" s="1"/>
  <c r="G265" i="44" s="1"/>
  <c r="I90" i="44"/>
  <c r="I132" i="44" s="1"/>
  <c r="I148" i="44" s="1"/>
  <c r="I265" i="44" s="1"/>
  <c r="H281" i="44"/>
  <c r="G281" i="44"/>
  <c r="G320" i="44" s="1"/>
  <c r="F281" i="44"/>
  <c r="F320" i="44" s="1"/>
  <c r="C48" i="44"/>
  <c r="C72" i="44"/>
  <c r="C149" i="44"/>
  <c r="C165" i="44"/>
  <c r="C105" i="44"/>
  <c r="C89" i="44"/>
  <c r="C132" i="44"/>
  <c r="I143" i="44"/>
  <c r="I159" i="44"/>
  <c r="I185" i="44" s="1"/>
  <c r="J143" i="44"/>
  <c r="J159" i="44"/>
  <c r="J185" i="44" s="1"/>
  <c r="F276" i="44"/>
  <c r="F301" i="44" s="1"/>
  <c r="F315" i="44" s="1"/>
  <c r="F330" i="44" s="1"/>
  <c r="D46" i="16" s="1"/>
  <c r="H217" i="44"/>
  <c r="H244" i="44" s="1"/>
  <c r="H260" i="44" s="1"/>
  <c r="H202" i="44"/>
  <c r="C252" i="44"/>
  <c r="C253" i="44"/>
  <c r="C209" i="44"/>
  <c r="C224" i="44"/>
  <c r="C255" i="44"/>
  <c r="C285" i="44"/>
  <c r="C310" i="44" s="1"/>
  <c r="C270" i="44"/>
  <c r="H287" i="44" l="1"/>
  <c r="H320" i="44"/>
  <c r="I280" i="44"/>
  <c r="I319" i="44" s="1"/>
  <c r="H280" i="44"/>
  <c r="H319" i="44" s="1"/>
  <c r="G280" i="44"/>
  <c r="G319" i="44" s="1"/>
  <c r="C191" i="44"/>
  <c r="C148" i="44"/>
  <c r="C164" i="44"/>
  <c r="C88" i="44"/>
  <c r="C104" i="44"/>
  <c r="C71" i="44"/>
  <c r="C131" i="44"/>
  <c r="J202" i="44"/>
  <c r="J217" i="44"/>
  <c r="J244" i="44" s="1"/>
  <c r="J260" i="44" s="1"/>
  <c r="I202" i="44"/>
  <c r="I217" i="44"/>
  <c r="I244" i="44" s="1"/>
  <c r="I260" i="44" s="1"/>
  <c r="H276" i="44" s="1"/>
  <c r="H301" i="44" s="1"/>
  <c r="H315" i="44" s="1"/>
  <c r="H330" i="44" s="1"/>
  <c r="F46" i="16" s="1"/>
  <c r="G276" i="44"/>
  <c r="G301" i="44" s="1"/>
  <c r="G315" i="44" s="1"/>
  <c r="G330" i="44" s="1"/>
  <c r="E46" i="16" s="1"/>
  <c r="C251" i="44"/>
  <c r="C271" i="44"/>
  <c r="C339" i="44"/>
  <c r="C324" i="44"/>
  <c r="C284" i="44"/>
  <c r="C309" i="44" s="1"/>
  <c r="C269" i="44"/>
  <c r="C283" i="44"/>
  <c r="C308" i="44" s="1"/>
  <c r="C268" i="44"/>
  <c r="C190" i="44" l="1"/>
  <c r="C163" i="44"/>
  <c r="C147" i="44"/>
  <c r="C87" i="44"/>
  <c r="C103" i="44"/>
  <c r="C130" i="44"/>
  <c r="C208" i="44"/>
  <c r="C223" i="44"/>
  <c r="C250" i="44" s="1"/>
  <c r="I276" i="44"/>
  <c r="I301" i="44" s="1"/>
  <c r="I315" i="44" s="1"/>
  <c r="I330" i="44" s="1"/>
  <c r="G46" i="16" s="1"/>
  <c r="G48" i="16" s="1"/>
  <c r="C267" i="44"/>
  <c r="C282" i="44"/>
  <c r="C307" i="44" s="1"/>
  <c r="C338" i="44"/>
  <c r="C323" i="44"/>
  <c r="C337" i="44"/>
  <c r="C322" i="44"/>
  <c r="C129" i="44" l="1"/>
  <c r="C189" i="44"/>
  <c r="C222" i="44"/>
  <c r="C249" i="44" s="1"/>
  <c r="C207" i="44"/>
  <c r="C281" i="44"/>
  <c r="C306" i="44" s="1"/>
  <c r="C266" i="44"/>
  <c r="C162" i="44"/>
  <c r="C146" i="44"/>
  <c r="C336" i="44"/>
  <c r="C321" i="44"/>
  <c r="C335" i="44" l="1"/>
  <c r="C320" i="44"/>
  <c r="C221" i="44"/>
  <c r="C248" i="44" s="1"/>
  <c r="C206" i="44"/>
  <c r="C280" i="44"/>
  <c r="C305" i="44" s="1"/>
  <c r="C265" i="44"/>
  <c r="C188" i="44"/>
  <c r="C145" i="44"/>
  <c r="C161" i="44"/>
  <c r="C279" i="44" l="1"/>
  <c r="C304" i="44" s="1"/>
  <c r="C264" i="44"/>
  <c r="C187" i="44"/>
  <c r="C205" i="44"/>
  <c r="C220" i="44"/>
  <c r="C247" i="44" s="1"/>
  <c r="C319" i="44"/>
  <c r="C334" i="44"/>
  <c r="C219" i="44" l="1"/>
  <c r="C246" i="44" s="1"/>
  <c r="C204" i="44"/>
  <c r="C333" i="44"/>
  <c r="C318" i="44"/>
  <c r="C278" i="44"/>
  <c r="C303" i="44" s="1"/>
  <c r="C263" i="44"/>
  <c r="C262" i="44" l="1"/>
  <c r="C332" i="44"/>
  <c r="C317" i="44"/>
  <c r="D37" i="44" l="1"/>
  <c r="D41" i="44" s="1"/>
  <c r="D80" i="44" s="1"/>
  <c r="D96" i="44" l="1"/>
  <c r="D154" i="44" s="1"/>
  <c r="D271" i="44" s="1"/>
  <c r="D94" i="44"/>
  <c r="D136" i="44" s="1"/>
  <c r="D152" i="44" s="1"/>
  <c r="D269" i="44" s="1"/>
  <c r="D284" i="44" s="1"/>
  <c r="D323" i="44" s="1"/>
  <c r="D93" i="44"/>
  <c r="D135" i="44" s="1"/>
  <c r="D151" i="44" s="1"/>
  <c r="D268" i="44" s="1"/>
  <c r="D283" i="44" s="1"/>
  <c r="D322" i="44" s="1"/>
  <c r="D95" i="44"/>
  <c r="D137" i="44" s="1"/>
  <c r="D153" i="44" s="1"/>
  <c r="D270" i="44" s="1"/>
  <c r="D285" i="44" s="1"/>
  <c r="I287" i="44"/>
  <c r="D324" i="44" l="1"/>
  <c r="D287" i="44"/>
  <c r="K186" i="42"/>
  <c r="J186" i="42"/>
  <c r="I186" i="42"/>
  <c r="H186" i="42"/>
  <c r="G186" i="42"/>
  <c r="F186" i="42"/>
  <c r="E186" i="42"/>
  <c r="D186" i="42"/>
  <c r="C186" i="42"/>
  <c r="K187" i="42"/>
  <c r="J187" i="42"/>
  <c r="I187" i="42"/>
  <c r="H187" i="42"/>
  <c r="G187" i="42"/>
  <c r="F187" i="42"/>
  <c r="E187" i="42"/>
  <c r="D187" i="42"/>
  <c r="C187" i="42"/>
  <c r="B196" i="42"/>
  <c r="B195" i="42"/>
  <c r="B158" i="42"/>
  <c r="C144" i="42"/>
  <c r="C122" i="42"/>
  <c r="C86" i="42"/>
  <c r="L65" i="42"/>
  <c r="K65" i="42"/>
  <c r="J65" i="42"/>
  <c r="I65" i="42"/>
  <c r="H65" i="42"/>
  <c r="G65" i="42"/>
  <c r="F65" i="42"/>
  <c r="E65" i="42"/>
  <c r="D65" i="42"/>
  <c r="C65" i="42"/>
  <c r="C32" i="42"/>
  <c r="I134" i="43"/>
  <c r="H135" i="43"/>
  <c r="H134" i="43"/>
  <c r="G136" i="43"/>
  <c r="G135" i="43"/>
  <c r="G134" i="43"/>
  <c r="F135" i="43"/>
  <c r="F136" i="43"/>
  <c r="F137" i="43"/>
  <c r="E138" i="43"/>
  <c r="E136" i="43"/>
  <c r="E137" i="43"/>
  <c r="D137" i="43"/>
  <c r="D139" i="43"/>
  <c r="D138" i="43"/>
  <c r="G40" i="13" l="1"/>
  <c r="F40" i="13"/>
  <c r="A40" i="13"/>
  <c r="E333" i="43"/>
  <c r="F333" i="43"/>
  <c r="G333" i="43"/>
  <c r="H333" i="43"/>
  <c r="I333" i="43"/>
  <c r="I335" i="43"/>
  <c r="H335" i="43"/>
  <c r="G335" i="43"/>
  <c r="F335" i="43"/>
  <c r="E335" i="43"/>
  <c r="D335" i="43"/>
  <c r="I334" i="43"/>
  <c r="H334" i="43"/>
  <c r="G334" i="43"/>
  <c r="E40" i="13" s="1"/>
  <c r="F334" i="43"/>
  <c r="D40" i="13" s="1"/>
  <c r="E334" i="43"/>
  <c r="C40" i="13" s="1"/>
  <c r="D334" i="43"/>
  <c r="B40" i="13" s="1"/>
  <c r="D333" i="43"/>
  <c r="J225" i="43"/>
  <c r="J224" i="43"/>
  <c r="J251" i="43" s="1"/>
  <c r="J223" i="43"/>
  <c r="J250" i="43" s="1"/>
  <c r="I266" i="43" s="1"/>
  <c r="J222" i="43"/>
  <c r="J249" i="43" s="1"/>
  <c r="I226" i="43"/>
  <c r="I225" i="43"/>
  <c r="I224" i="43"/>
  <c r="I251" i="43" s="1"/>
  <c r="H267" i="43" s="1"/>
  <c r="I223" i="43"/>
  <c r="H227" i="43"/>
  <c r="H226" i="43"/>
  <c r="H225" i="43"/>
  <c r="H224" i="43"/>
  <c r="H251" i="43" s="1"/>
  <c r="G228" i="43"/>
  <c r="G227" i="43"/>
  <c r="G226" i="43"/>
  <c r="G225" i="43"/>
  <c r="F229" i="43"/>
  <c r="F228" i="43"/>
  <c r="F227" i="43"/>
  <c r="F226" i="43"/>
  <c r="E230" i="43"/>
  <c r="E229" i="43"/>
  <c r="E228" i="43"/>
  <c r="E227" i="43"/>
  <c r="D231" i="43"/>
  <c r="D230" i="43"/>
  <c r="D229" i="43"/>
  <c r="D228" i="43"/>
  <c r="J149" i="43"/>
  <c r="J148" i="43"/>
  <c r="J147" i="43"/>
  <c r="I149" i="43"/>
  <c r="I148" i="43"/>
  <c r="I250" i="43" s="1"/>
  <c r="H149" i="43"/>
  <c r="J134" i="43"/>
  <c r="I135" i="43"/>
  <c r="H136" i="43"/>
  <c r="G137" i="43"/>
  <c r="F138" i="43"/>
  <c r="E139" i="43"/>
  <c r="D140" i="43"/>
  <c r="I30" i="43"/>
  <c r="I37" i="43" s="1"/>
  <c r="I38" i="43" s="1"/>
  <c r="I42" i="43" s="1"/>
  <c r="I29" i="43"/>
  <c r="I28" i="43"/>
  <c r="H31" i="43"/>
  <c r="H37" i="43" s="1"/>
  <c r="H30" i="43"/>
  <c r="H29" i="43"/>
  <c r="G32" i="43"/>
  <c r="G37" i="43" s="1"/>
  <c r="G31" i="43"/>
  <c r="G30" i="43"/>
  <c r="F33" i="43"/>
  <c r="F37" i="43" s="1"/>
  <c r="F32" i="43"/>
  <c r="F31" i="43"/>
  <c r="E34" i="43"/>
  <c r="E37" i="43" s="1"/>
  <c r="E33" i="43"/>
  <c r="E32" i="43"/>
  <c r="D34" i="43"/>
  <c r="D33" i="43"/>
  <c r="J42" i="43"/>
  <c r="D35" i="43"/>
  <c r="D37" i="43" s="1"/>
  <c r="C58" i="43"/>
  <c r="E10" i="43"/>
  <c r="F10" i="43" s="1"/>
  <c r="O25" i="14"/>
  <c r="N25" i="14" s="1"/>
  <c r="M25" i="14" s="1"/>
  <c r="O23" i="14"/>
  <c r="N23" i="14"/>
  <c r="M23" i="14"/>
  <c r="L23" i="14"/>
  <c r="K23" i="14"/>
  <c r="J23" i="14"/>
  <c r="I23" i="14"/>
  <c r="H23" i="14"/>
  <c r="G23" i="14"/>
  <c r="F23" i="14"/>
  <c r="E23" i="14"/>
  <c r="D23" i="14"/>
  <c r="C23" i="14"/>
  <c r="B23" i="14"/>
  <c r="A20" i="14"/>
  <c r="T52" i="15"/>
  <c r="S52" i="15" s="1"/>
  <c r="R52" i="15" s="1"/>
  <c r="T51" i="15"/>
  <c r="S51" i="15"/>
  <c r="R51" i="15"/>
  <c r="Q51" i="15"/>
  <c r="P51" i="15"/>
  <c r="O51" i="15"/>
  <c r="N51" i="15"/>
  <c r="M51" i="15"/>
  <c r="L51" i="15"/>
  <c r="K51" i="15"/>
  <c r="J51" i="15"/>
  <c r="I51" i="15"/>
  <c r="H51" i="15"/>
  <c r="G51" i="15"/>
  <c r="F51" i="15"/>
  <c r="E51" i="15"/>
  <c r="D51" i="15"/>
  <c r="C51" i="15"/>
  <c r="B51" i="15"/>
  <c r="S28" i="15"/>
  <c r="A31" i="15"/>
  <c r="A30" i="15"/>
  <c r="A29" i="15"/>
  <c r="A7" i="15"/>
  <c r="A6" i="15" s="1"/>
  <c r="A5" i="15" s="1"/>
  <c r="I309" i="43" l="1"/>
  <c r="I267" i="43"/>
  <c r="I310" i="43" s="1"/>
  <c r="H310" i="43"/>
  <c r="H38" i="43"/>
  <c r="H42" i="43" s="1"/>
  <c r="E47" i="43"/>
  <c r="E70" i="43" s="1"/>
  <c r="E86" i="43" s="1"/>
  <c r="F47" i="43"/>
  <c r="F70" i="43" s="1"/>
  <c r="G10" i="43"/>
  <c r="F26" i="43" s="1"/>
  <c r="E102" i="43"/>
  <c r="E129" i="43" s="1"/>
  <c r="D26" i="43"/>
  <c r="D47" i="43"/>
  <c r="D70" i="43" s="1"/>
  <c r="E26" i="43"/>
  <c r="C81" i="43"/>
  <c r="C20" i="43"/>
  <c r="D41" i="43"/>
  <c r="C35" i="43"/>
  <c r="G38" i="43" l="1"/>
  <c r="D86" i="43"/>
  <c r="D102" i="43"/>
  <c r="D129" i="43" s="1"/>
  <c r="C34" i="43"/>
  <c r="E145" i="43"/>
  <c r="E161" i="43"/>
  <c r="E188" i="43" s="1"/>
  <c r="E41" i="43"/>
  <c r="C19" i="43"/>
  <c r="C57" i="43"/>
  <c r="C97" i="43"/>
  <c r="C113" i="43"/>
  <c r="G47" i="43"/>
  <c r="G70" i="43" s="1"/>
  <c r="H10" i="43"/>
  <c r="F86" i="43"/>
  <c r="F102" i="43"/>
  <c r="F129" i="43" s="1"/>
  <c r="G42" i="43" l="1"/>
  <c r="F38" i="43"/>
  <c r="F41" i="43"/>
  <c r="C140" i="43"/>
  <c r="E220" i="43"/>
  <c r="E247" i="43" s="1"/>
  <c r="E205" i="43"/>
  <c r="G86" i="43"/>
  <c r="G102" i="43"/>
  <c r="G129" i="43" s="1"/>
  <c r="C33" i="43"/>
  <c r="H47" i="43"/>
  <c r="H70" i="43" s="1"/>
  <c r="I10" i="43"/>
  <c r="C80" i="43"/>
  <c r="C56" i="43"/>
  <c r="D161" i="43"/>
  <c r="D188" i="43" s="1"/>
  <c r="D145" i="43"/>
  <c r="F145" i="43"/>
  <c r="F161" i="43"/>
  <c r="F188" i="43" s="1"/>
  <c r="G26" i="43"/>
  <c r="C18" i="43"/>
  <c r="E38" i="43" l="1"/>
  <c r="F42" i="43"/>
  <c r="D220" i="43"/>
  <c r="D247" i="43" s="1"/>
  <c r="D263" i="43" s="1"/>
  <c r="D281" i="43" s="1"/>
  <c r="D307" i="43" s="1"/>
  <c r="D322" i="43" s="1"/>
  <c r="B39" i="13" s="1"/>
  <c r="B41" i="13" s="1"/>
  <c r="D205" i="43"/>
  <c r="G145" i="43"/>
  <c r="G161" i="43"/>
  <c r="G188" i="43" s="1"/>
  <c r="I47" i="43"/>
  <c r="I70" i="43" s="1"/>
  <c r="J10" i="43"/>
  <c r="J47" i="43" s="1"/>
  <c r="J70" i="43" s="1"/>
  <c r="C55" i="43"/>
  <c r="C79" i="43"/>
  <c r="C96" i="43"/>
  <c r="C112" i="43"/>
  <c r="H26" i="43"/>
  <c r="F205" i="43"/>
  <c r="F220" i="43"/>
  <c r="F247" i="43" s="1"/>
  <c r="E263" i="43" s="1"/>
  <c r="E281" i="43" s="1"/>
  <c r="E307" i="43" s="1"/>
  <c r="E322" i="43" s="1"/>
  <c r="C39" i="13" s="1"/>
  <c r="H102" i="43"/>
  <c r="H129" i="43" s="1"/>
  <c r="H86" i="43"/>
  <c r="C156" i="43"/>
  <c r="C172" i="43"/>
  <c r="C17" i="43"/>
  <c r="C32" i="43"/>
  <c r="G41" i="43"/>
  <c r="D79" i="43" l="1"/>
  <c r="F79" i="43"/>
  <c r="E79" i="43"/>
  <c r="E42" i="43"/>
  <c r="D38" i="43"/>
  <c r="D42" i="43" s="1"/>
  <c r="I26" i="43"/>
  <c r="J26" i="43" s="1"/>
  <c r="C78" i="43"/>
  <c r="C54" i="43"/>
  <c r="C31" i="43"/>
  <c r="C139" i="43"/>
  <c r="J102" i="43"/>
  <c r="J129" i="43" s="1"/>
  <c r="J86" i="43"/>
  <c r="C16" i="43"/>
  <c r="H145" i="43"/>
  <c r="H161" i="43"/>
  <c r="H188" i="43" s="1"/>
  <c r="I102" i="43"/>
  <c r="I129" i="43" s="1"/>
  <c r="I86" i="43"/>
  <c r="C111" i="43"/>
  <c r="C95" i="43"/>
  <c r="G205" i="43"/>
  <c r="G220" i="43"/>
  <c r="G247" i="43" s="1"/>
  <c r="H41" i="43"/>
  <c r="C199" i="43"/>
  <c r="D81" i="43" l="1"/>
  <c r="D97" i="43" s="1"/>
  <c r="D156" i="43" s="1"/>
  <c r="D258" i="43" s="1"/>
  <c r="E80" i="43"/>
  <c r="E96" i="43" s="1"/>
  <c r="E155" i="43" s="1"/>
  <c r="E257" i="43" s="1"/>
  <c r="D80" i="43"/>
  <c r="F95" i="43"/>
  <c r="F154" i="43" s="1"/>
  <c r="F256" i="43" s="1"/>
  <c r="D78" i="43"/>
  <c r="G78" i="43"/>
  <c r="F78" i="43"/>
  <c r="E78" i="43"/>
  <c r="D96" i="43"/>
  <c r="D155" i="43" s="1"/>
  <c r="D257" i="43" s="1"/>
  <c r="C94" i="43"/>
  <c r="C110" i="43"/>
  <c r="C15" i="43"/>
  <c r="C30" i="43"/>
  <c r="C231" i="43"/>
  <c r="H205" i="43"/>
  <c r="H220" i="43"/>
  <c r="H247" i="43" s="1"/>
  <c r="G263" i="43" s="1"/>
  <c r="G281" i="43" s="1"/>
  <c r="G307" i="43" s="1"/>
  <c r="G322" i="43" s="1"/>
  <c r="E39" i="13" s="1"/>
  <c r="J161" i="43"/>
  <c r="J188" i="43" s="1"/>
  <c r="J145" i="43"/>
  <c r="C138" i="43"/>
  <c r="I41" i="43"/>
  <c r="C53" i="43"/>
  <c r="C77" i="43"/>
  <c r="I161" i="43"/>
  <c r="I188" i="43" s="1"/>
  <c r="I145" i="43"/>
  <c r="F263" i="43"/>
  <c r="F281" i="43" s="1"/>
  <c r="F307" i="43" s="1"/>
  <c r="F322" i="43" s="1"/>
  <c r="D39" i="13" s="1"/>
  <c r="C171" i="43"/>
  <c r="C155" i="43"/>
  <c r="E95" i="43" l="1"/>
  <c r="F94" i="43"/>
  <c r="E94" i="43"/>
  <c r="D94" i="43"/>
  <c r="G94" i="43"/>
  <c r="G153" i="43" s="1"/>
  <c r="G255" i="43" s="1"/>
  <c r="D95" i="43"/>
  <c r="D154" i="43" s="1"/>
  <c r="D256" i="43" s="1"/>
  <c r="D273" i="43"/>
  <c r="F77" i="43"/>
  <c r="H77" i="43"/>
  <c r="G77" i="43"/>
  <c r="E77" i="43"/>
  <c r="C76" i="43"/>
  <c r="C52" i="43"/>
  <c r="C29" i="43"/>
  <c r="C93" i="43"/>
  <c r="C109" i="43"/>
  <c r="C154" i="43"/>
  <c r="C170" i="43"/>
  <c r="E154" i="43"/>
  <c r="E256" i="43" s="1"/>
  <c r="C258" i="43"/>
  <c r="J220" i="43"/>
  <c r="J247" i="43" s="1"/>
  <c r="J205" i="43"/>
  <c r="J41" i="43"/>
  <c r="C137" i="43"/>
  <c r="D153" i="43" s="1"/>
  <c r="D255" i="43" s="1"/>
  <c r="I205" i="43"/>
  <c r="I220" i="43"/>
  <c r="I247" i="43" s="1"/>
  <c r="H263" i="43" s="1"/>
  <c r="H281" i="43" s="1"/>
  <c r="H307" i="43" s="1"/>
  <c r="H322" i="43" s="1"/>
  <c r="F39" i="13" s="1"/>
  <c r="C14" i="43"/>
  <c r="C198" i="43"/>
  <c r="D272" i="43" l="1"/>
  <c r="D315" i="43" s="1"/>
  <c r="E272" i="43"/>
  <c r="H76" i="43"/>
  <c r="F76" i="43"/>
  <c r="G76" i="43"/>
  <c r="I76" i="43"/>
  <c r="H93" i="43"/>
  <c r="H152" i="43" s="1"/>
  <c r="H254" i="43" s="1"/>
  <c r="F93" i="43"/>
  <c r="E93" i="43"/>
  <c r="G93" i="43"/>
  <c r="D316" i="43"/>
  <c r="D275" i="43"/>
  <c r="C108" i="43"/>
  <c r="C92" i="43"/>
  <c r="C230" i="43"/>
  <c r="C215" i="43"/>
  <c r="C136" i="43"/>
  <c r="C28" i="43"/>
  <c r="C13" i="43"/>
  <c r="C169" i="43"/>
  <c r="E153" i="43"/>
  <c r="E255" i="43" s="1"/>
  <c r="D271" i="43" s="1"/>
  <c r="C153" i="43"/>
  <c r="F153" i="43"/>
  <c r="F255" i="43" s="1"/>
  <c r="I263" i="43"/>
  <c r="I281" i="43" s="1"/>
  <c r="I307" i="43" s="1"/>
  <c r="I322" i="43" s="1"/>
  <c r="G39" i="13" s="1"/>
  <c r="C197" i="43"/>
  <c r="C75" i="43"/>
  <c r="C51" i="43"/>
  <c r="E271" i="43" l="1"/>
  <c r="E314" i="43" s="1"/>
  <c r="I75" i="43"/>
  <c r="H75" i="43"/>
  <c r="J75" i="43"/>
  <c r="G75" i="43"/>
  <c r="I92" i="43"/>
  <c r="I151" i="43" s="1"/>
  <c r="I253" i="43" s="1"/>
  <c r="H92" i="43"/>
  <c r="F92" i="43"/>
  <c r="G92" i="43"/>
  <c r="F271" i="43"/>
  <c r="D276" i="43"/>
  <c r="D314" i="43"/>
  <c r="E315" i="43"/>
  <c r="E275" i="43"/>
  <c r="C214" i="43"/>
  <c r="C229" i="43"/>
  <c r="C196" i="43"/>
  <c r="C152" i="43"/>
  <c r="C168" i="43"/>
  <c r="F152" i="43"/>
  <c r="F254" i="43" s="1"/>
  <c r="E152" i="43"/>
  <c r="E254" i="43" s="1"/>
  <c r="G152" i="43"/>
  <c r="G254" i="43" s="1"/>
  <c r="C257" i="43"/>
  <c r="C91" i="43"/>
  <c r="C107" i="43"/>
  <c r="C12" i="43"/>
  <c r="C135" i="43"/>
  <c r="C74" i="43"/>
  <c r="C50" i="43"/>
  <c r="F270" i="43" l="1"/>
  <c r="F313" i="43" s="1"/>
  <c r="E270" i="43"/>
  <c r="E276" i="43" s="1"/>
  <c r="I91" i="43"/>
  <c r="H91" i="43"/>
  <c r="G91" i="43"/>
  <c r="J91" i="43"/>
  <c r="J150" i="43" s="1"/>
  <c r="J252" i="43" s="1"/>
  <c r="G270" i="43"/>
  <c r="F314" i="43"/>
  <c r="F275" i="43"/>
  <c r="C134" i="43"/>
  <c r="C290" i="43"/>
  <c r="C273" i="43"/>
  <c r="C106" i="43"/>
  <c r="C90" i="43"/>
  <c r="H151" i="43"/>
  <c r="H253" i="43" s="1"/>
  <c r="C167" i="43"/>
  <c r="G151" i="43"/>
  <c r="G253" i="43" s="1"/>
  <c r="F151" i="43"/>
  <c r="F253" i="43" s="1"/>
  <c r="C151" i="43"/>
  <c r="C228" i="43"/>
  <c r="C213" i="43"/>
  <c r="C49" i="43"/>
  <c r="C73" i="43"/>
  <c r="C195" i="43"/>
  <c r="C256" i="43"/>
  <c r="G269" i="43" l="1"/>
  <c r="G312" i="43" s="1"/>
  <c r="E313" i="43"/>
  <c r="G275" i="43"/>
  <c r="G313" i="43"/>
  <c r="H269" i="43"/>
  <c r="F269" i="43"/>
  <c r="C316" i="43"/>
  <c r="G150" i="43"/>
  <c r="G252" i="43" s="1"/>
  <c r="I150" i="43"/>
  <c r="I252" i="43" s="1"/>
  <c r="C166" i="43"/>
  <c r="C150" i="43"/>
  <c r="H150" i="43"/>
  <c r="H252" i="43" s="1"/>
  <c r="C194" i="43"/>
  <c r="C133" i="43"/>
  <c r="C272" i="43"/>
  <c r="C289" i="43"/>
  <c r="C212" i="43"/>
  <c r="C227" i="43"/>
  <c r="C89" i="43"/>
  <c r="C105" i="43"/>
  <c r="C255" i="43"/>
  <c r="C72" i="43"/>
  <c r="H268" i="43" l="1"/>
  <c r="H276" i="43" s="1"/>
  <c r="F312" i="43"/>
  <c r="F276" i="43"/>
  <c r="H275" i="43"/>
  <c r="H312" i="43"/>
  <c r="G268" i="43"/>
  <c r="I268" i="43"/>
  <c r="C331" i="43"/>
  <c r="C104" i="43"/>
  <c r="C88" i="43"/>
  <c r="C132" i="43"/>
  <c r="C254" i="43"/>
  <c r="C211" i="43"/>
  <c r="C226" i="43"/>
  <c r="C149" i="43"/>
  <c r="C165" i="43"/>
  <c r="C193" i="43"/>
  <c r="C288" i="43"/>
  <c r="C271" i="43"/>
  <c r="C315" i="43"/>
  <c r="H311" i="43" l="1"/>
  <c r="I311" i="43"/>
  <c r="I275" i="43"/>
  <c r="I276" i="43"/>
  <c r="G311" i="43"/>
  <c r="G276" i="43"/>
  <c r="C192" i="43"/>
  <c r="C225" i="43"/>
  <c r="C210" i="43"/>
  <c r="C330" i="43"/>
  <c r="C253" i="43"/>
  <c r="C270" i="43"/>
  <c r="C287" i="43"/>
  <c r="C148" i="43"/>
  <c r="C164" i="43"/>
  <c r="C131" i="43"/>
  <c r="C314" i="43"/>
  <c r="C329" i="43" l="1"/>
  <c r="C191" i="43"/>
  <c r="C252" i="43"/>
  <c r="C286" i="43"/>
  <c r="C269" i="43"/>
  <c r="C209" i="43"/>
  <c r="C224" i="43"/>
  <c r="C313" i="43"/>
  <c r="C163" i="43"/>
  <c r="C147" i="43"/>
  <c r="C328" i="43" l="1"/>
  <c r="C268" i="43"/>
  <c r="C285" i="43"/>
  <c r="C312" i="43"/>
  <c r="C190" i="43"/>
  <c r="C223" i="43"/>
  <c r="C208" i="43"/>
  <c r="C251" i="43"/>
  <c r="C222" i="43" l="1"/>
  <c r="C207" i="43"/>
  <c r="C250" i="43"/>
  <c r="C327" i="43"/>
  <c r="C284" i="43"/>
  <c r="C267" i="43"/>
  <c r="C311" i="43"/>
  <c r="C283" i="43" l="1"/>
  <c r="C266" i="43"/>
  <c r="C249" i="43"/>
  <c r="C326" i="43"/>
  <c r="C310" i="43"/>
  <c r="C265" i="43" l="1"/>
  <c r="C325" i="43"/>
  <c r="C309" i="43"/>
  <c r="C324" i="43" l="1"/>
  <c r="C52" i="12" l="1"/>
  <c r="D52" i="12"/>
  <c r="E52" i="12"/>
  <c r="F52" i="12"/>
  <c r="G52" i="12"/>
  <c r="H52" i="12"/>
  <c r="I52" i="12"/>
  <c r="J52" i="12"/>
  <c r="K52" i="12"/>
  <c r="L52" i="12"/>
  <c r="M52" i="12"/>
  <c r="N52" i="12"/>
  <c r="O52" i="12"/>
  <c r="P52" i="12"/>
  <c r="Q52" i="12"/>
  <c r="Q32" i="12"/>
  <c r="P32" i="12"/>
  <c r="O32" i="12"/>
  <c r="N32" i="12"/>
  <c r="M32" i="12"/>
  <c r="L32" i="12"/>
  <c r="K32" i="12"/>
  <c r="J32" i="12"/>
  <c r="I32" i="12"/>
  <c r="H32" i="12"/>
  <c r="G32" i="12"/>
  <c r="F32" i="12"/>
  <c r="E32" i="12"/>
  <c r="D32" i="12"/>
  <c r="C32" i="12"/>
  <c r="B32" i="12"/>
  <c r="T29" i="21"/>
  <c r="S29" i="21" s="1"/>
  <c r="R29" i="21" s="1"/>
  <c r="T28" i="21"/>
  <c r="S28" i="21"/>
  <c r="R28" i="21"/>
  <c r="Q28" i="21"/>
  <c r="P28" i="21"/>
  <c r="O28" i="21"/>
  <c r="N28" i="21"/>
  <c r="M28" i="21"/>
  <c r="L28" i="21"/>
  <c r="K28" i="21"/>
  <c r="J28" i="21"/>
  <c r="I28" i="21"/>
  <c r="H28" i="21"/>
  <c r="G28" i="21"/>
  <c r="F28" i="21"/>
  <c r="E28" i="21"/>
  <c r="D28" i="21"/>
  <c r="C28" i="21"/>
  <c r="B28" i="21"/>
  <c r="A7" i="21"/>
  <c r="A6" i="21" s="1"/>
  <c r="A5" i="21" s="1"/>
  <c r="P28" i="20"/>
  <c r="T29" i="20" l="1"/>
  <c r="S29" i="20" s="1"/>
  <c r="R29" i="20" s="1"/>
  <c r="Q29" i="20" s="1"/>
  <c r="T28" i="20"/>
  <c r="S28" i="20"/>
  <c r="A7" i="20"/>
  <c r="A6" i="20" s="1"/>
  <c r="A5" i="20" s="1"/>
  <c r="T29" i="19"/>
  <c r="S29" i="19" s="1"/>
  <c r="R29" i="19" s="1"/>
  <c r="Q29" i="19" s="1"/>
  <c r="T28" i="19"/>
  <c r="S28" i="19"/>
  <c r="R28" i="19"/>
  <c r="Q28" i="19"/>
  <c r="P28" i="19"/>
  <c r="A42" i="1"/>
  <c r="I10" i="1"/>
  <c r="I9" i="1"/>
  <c r="I8" i="1"/>
  <c r="I7" i="1"/>
  <c r="I6" i="1"/>
  <c r="I43" i="1"/>
  <c r="T11" i="8" l="1"/>
  <c r="R28" i="20" l="1"/>
  <c r="Q28" i="20"/>
  <c r="O28" i="20"/>
  <c r="N28" i="20"/>
  <c r="M28" i="20"/>
  <c r="L28" i="20"/>
  <c r="K28" i="20"/>
  <c r="J28" i="20"/>
  <c r="I28" i="20"/>
  <c r="H28" i="20"/>
  <c r="G28" i="20"/>
  <c r="F28" i="20"/>
  <c r="E28" i="20"/>
  <c r="D28" i="20"/>
  <c r="C28" i="20"/>
  <c r="B28" i="20"/>
  <c r="Q31" i="10"/>
  <c r="P31" i="10"/>
  <c r="O31" i="10"/>
  <c r="N31" i="10"/>
  <c r="M31" i="10"/>
  <c r="L31" i="10"/>
  <c r="K31" i="10"/>
  <c r="J31" i="10"/>
  <c r="I31" i="10"/>
  <c r="H31" i="10"/>
  <c r="G31" i="10"/>
  <c r="F31" i="10"/>
  <c r="E31" i="10"/>
  <c r="D31" i="10"/>
  <c r="C31" i="10"/>
  <c r="B31" i="10"/>
  <c r="O28" i="19"/>
  <c r="N28" i="19"/>
  <c r="M28" i="19"/>
  <c r="L28" i="19"/>
  <c r="K28" i="19"/>
  <c r="J28" i="19"/>
  <c r="I28" i="19"/>
  <c r="H28" i="19"/>
  <c r="G28" i="19"/>
  <c r="F28" i="19"/>
  <c r="E28" i="19"/>
  <c r="D28" i="19"/>
  <c r="C28" i="19"/>
  <c r="B28" i="19"/>
  <c r="Q31" i="2"/>
  <c r="P31" i="2"/>
  <c r="O31" i="2"/>
  <c r="N31" i="2"/>
  <c r="M31" i="2"/>
  <c r="L31" i="2"/>
  <c r="K31" i="2"/>
  <c r="J31" i="2"/>
  <c r="I31" i="2"/>
  <c r="H31" i="2"/>
  <c r="G31" i="2"/>
  <c r="F31" i="2"/>
  <c r="E31" i="2"/>
  <c r="D31" i="2"/>
  <c r="C31" i="2"/>
  <c r="B31" i="2"/>
  <c r="P29" i="20" l="1"/>
  <c r="O29" i="20" s="1"/>
  <c r="N29" i="20" s="1"/>
  <c r="M29" i="20" s="1"/>
  <c r="L29" i="20" s="1"/>
  <c r="K29" i="20" s="1"/>
  <c r="J29" i="20" s="1"/>
  <c r="I29" i="20" s="1"/>
  <c r="H29" i="20" s="1"/>
  <c r="G29" i="20" s="1"/>
  <c r="F29" i="20" s="1"/>
  <c r="E29" i="20" s="1"/>
  <c r="D29" i="20" s="1"/>
  <c r="C29" i="20" s="1"/>
  <c r="B29" i="20" s="1"/>
  <c r="Q32" i="10" s="1"/>
  <c r="P32" i="10" s="1"/>
  <c r="O32" i="10" s="1"/>
  <c r="N32" i="10" s="1"/>
  <c r="M32" i="10" s="1"/>
  <c r="L32" i="10" s="1"/>
  <c r="K32" i="10" s="1"/>
  <c r="J32" i="10" s="1"/>
  <c r="I32" i="10" s="1"/>
  <c r="H32" i="10" s="1"/>
  <c r="G32" i="10" s="1"/>
  <c r="F32" i="10" s="1"/>
  <c r="E32" i="10" s="1"/>
  <c r="D32" i="10" s="1"/>
  <c r="C32" i="10" s="1"/>
  <c r="B32" i="10" s="1"/>
  <c r="P29" i="19"/>
  <c r="O29" i="19" s="1"/>
  <c r="N29" i="19" s="1"/>
  <c r="M29" i="19" s="1"/>
  <c r="L29" i="19" s="1"/>
  <c r="K29" i="19" s="1"/>
  <c r="J29" i="19" s="1"/>
  <c r="I29" i="19" s="1"/>
  <c r="H29" i="19" s="1"/>
  <c r="G29" i="19" s="1"/>
  <c r="F29" i="19" s="1"/>
  <c r="E29" i="19" s="1"/>
  <c r="D29" i="19" s="1"/>
  <c r="C29" i="19" s="1"/>
  <c r="B29" i="19" s="1"/>
  <c r="Q32" i="2" s="1"/>
  <c r="P32" i="2" s="1"/>
  <c r="O32" i="2" s="1"/>
  <c r="N32" i="2" s="1"/>
  <c r="M32" i="2" s="1"/>
  <c r="L32" i="2" s="1"/>
  <c r="K32" i="2" s="1"/>
  <c r="J32" i="2" s="1"/>
  <c r="I32" i="2" s="1"/>
  <c r="H32" i="2" s="1"/>
  <c r="G32" i="2" s="1"/>
  <c r="F32" i="2" s="1"/>
  <c r="E32" i="2" s="1"/>
  <c r="D32" i="2" s="1"/>
  <c r="C32" i="2" s="1"/>
  <c r="B32" i="2" s="1"/>
  <c r="M23" i="17"/>
  <c r="L23" i="17"/>
  <c r="K23" i="17"/>
  <c r="J23" i="17"/>
  <c r="I23" i="17"/>
  <c r="H23" i="17"/>
  <c r="G23" i="17"/>
  <c r="F23" i="17"/>
  <c r="E23" i="17"/>
  <c r="D23" i="17"/>
  <c r="C23" i="17"/>
  <c r="B23" i="17"/>
  <c r="K25" i="17"/>
  <c r="J25" i="17" s="1"/>
  <c r="I25" i="17" s="1"/>
  <c r="H25" i="17" s="1"/>
  <c r="G25" i="17" s="1"/>
  <c r="F25" i="17" s="1"/>
  <c r="E25" i="17" s="1"/>
  <c r="D25" i="17" s="1"/>
  <c r="C25" i="17" s="1"/>
  <c r="B25" i="17" l="1"/>
  <c r="B21" i="42" l="1"/>
  <c r="B31" i="11" l="1"/>
  <c r="C31" i="11"/>
  <c r="D31" i="11"/>
  <c r="E31" i="11"/>
  <c r="F31" i="11"/>
  <c r="G31" i="11"/>
  <c r="H31" i="11"/>
  <c r="I31" i="11"/>
  <c r="J31" i="11"/>
  <c r="K31" i="11"/>
  <c r="L31" i="11"/>
  <c r="M31" i="11"/>
  <c r="N31" i="11"/>
  <c r="O31" i="11"/>
  <c r="P31" i="11"/>
  <c r="Q31" i="11"/>
  <c r="B52" i="12"/>
  <c r="V32" i="13"/>
  <c r="U32" i="13"/>
  <c r="T32" i="13"/>
  <c r="S32" i="13"/>
  <c r="R32" i="13"/>
  <c r="Q32" i="13"/>
  <c r="P32" i="13"/>
  <c r="O32" i="13"/>
  <c r="N32" i="13"/>
  <c r="M32" i="13"/>
  <c r="L32" i="13"/>
  <c r="K32" i="13"/>
  <c r="J32" i="13"/>
  <c r="C74" i="12"/>
  <c r="C73" i="12"/>
  <c r="C72" i="12"/>
  <c r="C71" i="12"/>
  <c r="C70" i="12"/>
  <c r="A70" i="12"/>
  <c r="A71" i="12" s="1"/>
  <c r="A72" i="12" s="1"/>
  <c r="A73" i="12" s="1"/>
  <c r="A74" i="12" s="1"/>
  <c r="C69" i="12"/>
  <c r="J19" i="28" l="1"/>
  <c r="J20" i="28"/>
  <c r="J21" i="28"/>
  <c r="J22" i="28"/>
  <c r="J23" i="28"/>
  <c r="J24" i="28"/>
  <c r="J25" i="28"/>
  <c r="J26" i="28"/>
  <c r="B17" i="28"/>
  <c r="B16" i="28"/>
  <c r="B15" i="28"/>
  <c r="B14" i="28"/>
  <c r="B13" i="28"/>
  <c r="B18" i="28"/>
  <c r="A8" i="22"/>
  <c r="J45" i="4" l="1"/>
  <c r="L41" i="4" s="1"/>
  <c r="L40" i="4" s="1"/>
  <c r="J44" i="4"/>
  <c r="J42" i="4"/>
  <c r="J41" i="4"/>
  <c r="J40" i="4"/>
  <c r="J39" i="4"/>
  <c r="J38" i="4"/>
  <c r="J37" i="4"/>
  <c r="J36" i="4"/>
  <c r="J35" i="4"/>
  <c r="J34" i="4"/>
  <c r="J33" i="4"/>
  <c r="J32" i="4"/>
  <c r="J31" i="4"/>
  <c r="J30" i="4"/>
  <c r="J29" i="4"/>
  <c r="J28" i="4"/>
  <c r="J27" i="4"/>
  <c r="J26" i="4"/>
  <c r="J25" i="4"/>
  <c r="J24" i="4"/>
  <c r="J23" i="4"/>
  <c r="J22" i="4"/>
  <c r="J21" i="4"/>
  <c r="J20" i="4"/>
  <c r="J19" i="4"/>
  <c r="J18" i="4"/>
  <c r="J17" i="4"/>
  <c r="J16" i="4"/>
  <c r="J15" i="4"/>
  <c r="J14" i="4"/>
  <c r="J13" i="4"/>
  <c r="J12" i="4"/>
  <c r="J11" i="4"/>
  <c r="J10" i="4"/>
  <c r="J9" i="4"/>
  <c r="V29" i="16"/>
  <c r="U29" i="16"/>
  <c r="T29" i="16"/>
  <c r="S29" i="16"/>
  <c r="R29" i="16"/>
  <c r="Q29" i="16"/>
  <c r="P29" i="16"/>
  <c r="O29" i="16"/>
  <c r="N29" i="16"/>
  <c r="M29" i="16"/>
  <c r="L29" i="16"/>
  <c r="K29" i="16"/>
  <c r="J29" i="16"/>
  <c r="V32" i="16" l="1"/>
  <c r="L39" i="4"/>
  <c r="L38" i="4" s="1"/>
  <c r="L37" i="4" s="1"/>
  <c r="L36" i="4" s="1"/>
  <c r="L35" i="4" s="1"/>
  <c r="L34" i="4" s="1"/>
  <c r="L33" i="4" s="1"/>
  <c r="L32" i="4" s="1"/>
  <c r="L31" i="4" s="1"/>
  <c r="L30" i="4" s="1"/>
  <c r="L29" i="4" s="1"/>
  <c r="L28" i="4" s="1"/>
  <c r="L27" i="4" s="1"/>
  <c r="L26" i="4" l="1"/>
  <c r="L24" i="4"/>
  <c r="L23" i="4"/>
  <c r="L25" i="4"/>
  <c r="L22" i="4"/>
  <c r="L21" i="4" s="1"/>
  <c r="L20" i="4" s="1"/>
  <c r="L19" i="4" s="1"/>
  <c r="L18" i="4" s="1"/>
  <c r="L17" i="4" s="1"/>
  <c r="L16" i="4" s="1"/>
  <c r="L15" i="4" s="1"/>
  <c r="L14" i="4" s="1"/>
  <c r="L13" i="4" s="1"/>
  <c r="L12" i="4" s="1"/>
  <c r="L11" i="4" s="1"/>
  <c r="L10" i="4" s="1"/>
  <c r="L9" i="4" s="1"/>
  <c r="B154" i="42" l="1"/>
  <c r="B132" i="42"/>
  <c r="B75" i="42"/>
  <c r="C24" i="42"/>
  <c r="B42" i="42"/>
  <c r="C42" i="42" s="1"/>
  <c r="A173" i="42" l="1"/>
  <c r="A172" i="42"/>
  <c r="A171" i="42"/>
  <c r="B155" i="42" l="1"/>
  <c r="A115" i="42" l="1"/>
  <c r="A114" i="42"/>
  <c r="A113" i="42"/>
  <c r="B133" i="42"/>
  <c r="B131" i="42"/>
  <c r="B96" i="42"/>
  <c r="B76" i="42"/>
  <c r="A58" i="42"/>
  <c r="A57" i="42"/>
  <c r="A56" i="42"/>
  <c r="B95" i="42" l="1"/>
  <c r="D24" i="42"/>
  <c r="B130" i="42"/>
  <c r="B153" i="42"/>
  <c r="B74" i="42"/>
  <c r="B41" i="42"/>
  <c r="C41" i="42" l="1"/>
  <c r="D41" i="42"/>
  <c r="B94" i="42"/>
  <c r="E24" i="42"/>
  <c r="B129" i="42"/>
  <c r="B152" i="42"/>
  <c r="B73" i="42"/>
  <c r="B40" i="42"/>
  <c r="E40" i="42" l="1"/>
  <c r="C40" i="42"/>
  <c r="D40" i="42"/>
  <c r="B93" i="42"/>
  <c r="F24" i="42"/>
  <c r="B151" i="42"/>
  <c r="B128" i="42"/>
  <c r="B72" i="42"/>
  <c r="B39" i="42"/>
  <c r="E39" i="42" l="1"/>
  <c r="C39" i="42"/>
  <c r="F39" i="42"/>
  <c r="D39" i="42"/>
  <c r="B92" i="42"/>
  <c r="G24" i="42"/>
  <c r="B150" i="42"/>
  <c r="B127" i="42"/>
  <c r="B71" i="42"/>
  <c r="B38" i="42"/>
  <c r="P24" i="14"/>
  <c r="G38" i="42" l="1"/>
  <c r="E38" i="42"/>
  <c r="D38" i="42"/>
  <c r="F38" i="42"/>
  <c r="B91" i="42"/>
  <c r="H24" i="42"/>
  <c r="B126" i="42"/>
  <c r="B149" i="42"/>
  <c r="B70" i="42"/>
  <c r="B37" i="42"/>
  <c r="P24" i="17"/>
  <c r="A1" i="16"/>
  <c r="A1" i="13"/>
  <c r="G37" i="42" l="1"/>
  <c r="E37" i="42"/>
  <c r="H37" i="42"/>
  <c r="F37" i="42"/>
  <c r="B90" i="42"/>
  <c r="I24" i="42"/>
  <c r="B148" i="42"/>
  <c r="B125" i="42"/>
  <c r="B69" i="42"/>
  <c r="B36" i="42"/>
  <c r="I36" i="42" l="1"/>
  <c r="G36" i="42"/>
  <c r="H36" i="42"/>
  <c r="F36" i="42"/>
  <c r="B89" i="42"/>
  <c r="J24" i="42"/>
  <c r="B124" i="42"/>
  <c r="B147" i="42"/>
  <c r="B68" i="42"/>
  <c r="B35" i="42"/>
  <c r="H35" i="42" l="1"/>
  <c r="I35" i="42"/>
  <c r="G35" i="42"/>
  <c r="J35" i="42"/>
  <c r="B88" i="42"/>
  <c r="K24" i="42"/>
  <c r="B146" i="42"/>
  <c r="B123" i="42"/>
  <c r="B67" i="42"/>
  <c r="B34" i="42"/>
  <c r="I34" i="42" l="1"/>
  <c r="K34" i="42"/>
  <c r="J34" i="42"/>
  <c r="H34" i="42"/>
  <c r="B87" i="42"/>
  <c r="L24" i="42"/>
  <c r="B145" i="42"/>
  <c r="B66" i="42"/>
  <c r="B33" i="42"/>
  <c r="L33" i="42" l="1"/>
  <c r="I33" i="42"/>
  <c r="K33" i="42"/>
  <c r="J33" i="42"/>
  <c r="D32" i="42" l="1"/>
  <c r="E32" i="42" s="1"/>
  <c r="F32" i="42" s="1"/>
  <c r="G32" i="42" s="1"/>
  <c r="H32" i="42" s="1"/>
  <c r="I32" i="42" s="1"/>
  <c r="J32" i="42" s="1"/>
  <c r="K32" i="42" s="1"/>
  <c r="L32" i="42" s="1"/>
  <c r="D144" i="42" l="1"/>
  <c r="D86" i="42"/>
  <c r="C178" i="42"/>
  <c r="D122" i="42"/>
  <c r="D178" i="42" l="1"/>
  <c r="E86" i="42"/>
  <c r="E122" i="42"/>
  <c r="E144" i="42"/>
  <c r="B205" i="42"/>
  <c r="B210" i="42"/>
  <c r="B20" i="42"/>
  <c r="E178" i="42" l="1"/>
  <c r="F122" i="42"/>
  <c r="F86" i="42"/>
  <c r="B206" i="42"/>
  <c r="B211" i="42"/>
  <c r="F144" i="42"/>
  <c r="F178" i="42"/>
  <c r="B19" i="42"/>
  <c r="K48" i="29"/>
  <c r="K47" i="29"/>
  <c r="K46" i="29"/>
  <c r="K45" i="29"/>
  <c r="G144" i="42" l="1"/>
  <c r="G86" i="42"/>
  <c r="G122" i="42"/>
  <c r="G178" i="42"/>
  <c r="B18" i="42"/>
  <c r="K48" i="7"/>
  <c r="K47" i="7"/>
  <c r="K45" i="7"/>
  <c r="K46" i="7"/>
  <c r="H144" i="42" l="1"/>
  <c r="H86" i="42"/>
  <c r="H122" i="42"/>
  <c r="H178" i="42"/>
  <c r="B17" i="42"/>
  <c r="I122" i="42" l="1"/>
  <c r="I86" i="42"/>
  <c r="I144" i="42"/>
  <c r="I178" i="42"/>
  <c r="B16" i="42"/>
  <c r="A11" i="7"/>
  <c r="A12" i="7" s="1"/>
  <c r="A13" i="7" s="1"/>
  <c r="A14" i="7" s="1"/>
  <c r="A15" i="7" s="1"/>
  <c r="A16" i="7" s="1"/>
  <c r="A17" i="7" s="1"/>
  <c r="A18" i="7" s="1"/>
  <c r="A19" i="7" s="1"/>
  <c r="A20" i="7" s="1"/>
  <c r="A21" i="7" s="1"/>
  <c r="A22" i="7" s="1"/>
  <c r="A23" i="7" s="1"/>
  <c r="A24" i="7" s="1"/>
  <c r="A25" i="7" s="1"/>
  <c r="A26" i="7" s="1"/>
  <c r="A27" i="7" s="1"/>
  <c r="A28" i="7" s="1"/>
  <c r="A29" i="7" s="1"/>
  <c r="A30" i="7" s="1"/>
  <c r="A31" i="7" s="1"/>
  <c r="A32" i="7" s="1"/>
  <c r="A33" i="7" s="1"/>
  <c r="A34" i="7" s="1"/>
  <c r="A35" i="7" s="1"/>
  <c r="A36" i="7" s="1"/>
  <c r="A37" i="7" s="1"/>
  <c r="A38" i="7" s="1"/>
  <c r="A39" i="7" s="1"/>
  <c r="J144" i="42" l="1"/>
  <c r="J122" i="42"/>
  <c r="J86" i="42"/>
  <c r="J178" i="42"/>
  <c r="B15" i="42"/>
  <c r="A40" i="7"/>
  <c r="A11" i="5"/>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K122" i="42" l="1"/>
  <c r="K86" i="42"/>
  <c r="K144" i="42"/>
  <c r="K178" i="42"/>
  <c r="B14" i="42"/>
  <c r="A41" i="7"/>
  <c r="A46" i="5" l="1"/>
  <c r="A47" i="5" s="1"/>
  <c r="G39" i="5"/>
  <c r="G38" i="5" s="1"/>
  <c r="G37" i="5" s="1"/>
  <c r="G36" i="5" s="1"/>
  <c r="G35" i="5" s="1"/>
  <c r="G34" i="5" s="1"/>
  <c r="G33" i="5" s="1"/>
  <c r="G32" i="5" s="1"/>
  <c r="G31" i="5" s="1"/>
  <c r="G30" i="5" s="1"/>
  <c r="G29" i="5" s="1"/>
  <c r="G28" i="5" s="1"/>
  <c r="G27" i="5" s="1"/>
  <c r="G26" i="5" s="1"/>
  <c r="G25" i="5" s="1"/>
  <c r="G24" i="5" s="1"/>
  <c r="G23" i="5" s="1"/>
  <c r="G22" i="5" s="1"/>
  <c r="G21" i="5" s="1"/>
  <c r="G20" i="5" s="1"/>
  <c r="G19" i="5" s="1"/>
  <c r="G18" i="5" s="1"/>
  <c r="G17" i="5" s="1"/>
  <c r="G16" i="5" s="1"/>
  <c r="G15" i="5" s="1"/>
  <c r="G14" i="5" s="1"/>
  <c r="G13" i="5" s="1"/>
  <c r="G12" i="5" s="1"/>
  <c r="G11" i="5" s="1"/>
  <c r="G10" i="5" s="1"/>
  <c r="B13" i="42"/>
  <c r="A41" i="29"/>
  <c r="L78" i="42" l="1"/>
  <c r="L80" i="42" s="1"/>
  <c r="B12" i="42"/>
  <c r="A46" i="7"/>
  <c r="A47" i="7" s="1"/>
  <c r="M45" i="7" l="1"/>
  <c r="O11" i="8" l="1"/>
  <c r="A47" i="29"/>
  <c r="A46" i="29"/>
  <c r="A40" i="29"/>
  <c r="A39" i="29"/>
  <c r="A38" i="29"/>
  <c r="A37" i="29"/>
  <c r="A36" i="29"/>
  <c r="A35" i="29"/>
  <c r="A34" i="29"/>
  <c r="A33" i="29"/>
  <c r="A32" i="29"/>
  <c r="A31" i="29"/>
  <c r="A30" i="29"/>
  <c r="A28" i="29"/>
  <c r="A27" i="29"/>
  <c r="A25" i="29"/>
  <c r="A24" i="29"/>
  <c r="A23" i="29"/>
  <c r="A22" i="29"/>
  <c r="A21" i="29"/>
  <c r="A20" i="29"/>
  <c r="A19" i="29"/>
  <c r="A18" i="29"/>
  <c r="A17" i="29"/>
  <c r="A16" i="29"/>
  <c r="A15" i="29"/>
  <c r="A14" i="29"/>
  <c r="A13" i="29"/>
  <c r="A12" i="29"/>
  <c r="A11" i="29"/>
  <c r="M46" i="29"/>
  <c r="M47" i="7"/>
  <c r="M48" i="7"/>
  <c r="A14" i="28"/>
  <c r="A15" i="28" s="1"/>
  <c r="A16" i="28" s="1"/>
  <c r="A17" i="28" s="1"/>
  <c r="A18" i="28" s="1"/>
  <c r="A19" i="28" s="1"/>
  <c r="A20" i="28" s="1"/>
  <c r="A21" i="28" s="1"/>
  <c r="A22" i="28" s="1"/>
  <c r="B11" i="26"/>
  <c r="B12" i="26" s="1"/>
  <c r="M46" i="7"/>
  <c r="B10" i="27"/>
  <c r="B11" i="27"/>
  <c r="L43" i="27"/>
  <c r="M45" i="29"/>
  <c r="G44" i="23"/>
  <c r="D44" i="22"/>
  <c r="B13" i="26" l="1"/>
  <c r="B13" i="27" s="1"/>
  <c r="B12" i="27"/>
  <c r="A28" i="2"/>
  <c r="B28" i="15"/>
  <c r="A23" i="28"/>
  <c r="A11" i="25"/>
  <c r="A9" i="24"/>
  <c r="B10" i="4"/>
  <c r="L46" i="29"/>
  <c r="L47" i="29"/>
  <c r="L45" i="29"/>
  <c r="A26" i="29"/>
  <c r="A29" i="29"/>
  <c r="M47" i="29"/>
  <c r="A10" i="29"/>
  <c r="L48" i="29"/>
  <c r="M48" i="29"/>
  <c r="B14" i="26" l="1"/>
  <c r="B15" i="26" s="1"/>
  <c r="A24" i="28"/>
  <c r="A25" i="28" s="1"/>
  <c r="A27" i="2"/>
  <c r="A26" i="2" s="1"/>
  <c r="A29" i="10"/>
  <c r="A48" i="29"/>
  <c r="A8" i="23"/>
  <c r="B11" i="3"/>
  <c r="A1" i="17"/>
  <c r="A1" i="14"/>
  <c r="A10" i="24"/>
  <c r="A9" i="23"/>
  <c r="A9" i="22"/>
  <c r="A12" i="25"/>
  <c r="B11" i="4"/>
  <c r="B12" i="3" l="1"/>
  <c r="B14" i="27"/>
  <c r="A15" i="18"/>
  <c r="A29" i="11"/>
  <c r="A28" i="10"/>
  <c r="D8" i="22"/>
  <c r="J9" i="22" s="1"/>
  <c r="C28" i="15"/>
  <c r="B16" i="26"/>
  <c r="B15" i="27"/>
  <c r="A25" i="2"/>
  <c r="D28" i="15"/>
  <c r="B12" i="4"/>
  <c r="A10" i="23"/>
  <c r="A10" i="22"/>
  <c r="A11" i="24"/>
  <c r="A13" i="25"/>
  <c r="D9" i="22"/>
  <c r="J10" i="22" s="1"/>
  <c r="A16" i="18" l="1"/>
  <c r="B13" i="3"/>
  <c r="B45" i="18"/>
  <c r="A41" i="1"/>
  <c r="A27" i="10"/>
  <c r="A28" i="11"/>
  <c r="A29" i="12"/>
  <c r="L8" i="22"/>
  <c r="B17" i="26"/>
  <c r="B16" i="27"/>
  <c r="A24" i="2"/>
  <c r="E28" i="15"/>
  <c r="L9" i="22"/>
  <c r="D10" i="22"/>
  <c r="J11" i="22" s="1"/>
  <c r="A12" i="24"/>
  <c r="A11" i="22"/>
  <c r="B13" i="4"/>
  <c r="A14" i="25"/>
  <c r="A11" i="23"/>
  <c r="A17" i="18" l="1"/>
  <c r="B14" i="3"/>
  <c r="B44" i="18"/>
  <c r="A40" i="1"/>
  <c r="C41" i="13"/>
  <c r="A26" i="10"/>
  <c r="A27" i="11"/>
  <c r="A30" i="13"/>
  <c r="A50" i="12"/>
  <c r="A28" i="12"/>
  <c r="B17" i="27"/>
  <c r="B18" i="26"/>
  <c r="A23" i="2"/>
  <c r="L10" i="22"/>
  <c r="F28" i="15"/>
  <c r="A13" i="24"/>
  <c r="B14" i="4"/>
  <c r="A15" i="25"/>
  <c r="A12" i="23"/>
  <c r="A12" i="22"/>
  <c r="D11" i="22"/>
  <c r="J12" i="22" s="1"/>
  <c r="A18" i="18" l="1"/>
  <c r="B15" i="3"/>
  <c r="I42" i="1"/>
  <c r="B43" i="18"/>
  <c r="A39" i="1"/>
  <c r="A25" i="10"/>
  <c r="A26" i="11"/>
  <c r="A29" i="13"/>
  <c r="A49" i="12"/>
  <c r="A27" i="12"/>
  <c r="B18" i="27"/>
  <c r="B19" i="26"/>
  <c r="A22" i="2"/>
  <c r="G28" i="15"/>
  <c r="D12" i="22"/>
  <c r="J13" i="22" s="1"/>
  <c r="A13" i="23"/>
  <c r="A16" i="25"/>
  <c r="A13" i="22"/>
  <c r="A14" i="24"/>
  <c r="B15" i="4"/>
  <c r="L11" i="22"/>
  <c r="B16" i="3"/>
  <c r="A19" i="18" l="1"/>
  <c r="I41" i="1"/>
  <c r="B42" i="18"/>
  <c r="A38" i="1"/>
  <c r="B48" i="16"/>
  <c r="A24" i="10"/>
  <c r="A25" i="11"/>
  <c r="A26" i="12"/>
  <c r="A48" i="12"/>
  <c r="A28" i="13"/>
  <c r="D41" i="13"/>
  <c r="B20" i="26"/>
  <c r="B19" i="27"/>
  <c r="A21" i="2"/>
  <c r="H28" i="15"/>
  <c r="L12" i="22"/>
  <c r="A17" i="25"/>
  <c r="B16" i="4"/>
  <c r="A14" i="23"/>
  <c r="A14" i="22"/>
  <c r="A15" i="24"/>
  <c r="D13" i="22"/>
  <c r="J14" i="22" s="1"/>
  <c r="B17" i="3"/>
  <c r="A20" i="18" l="1"/>
  <c r="I40" i="1"/>
  <c r="B41" i="18"/>
  <c r="A37" i="1"/>
  <c r="E41" i="13"/>
  <c r="A23" i="10"/>
  <c r="A25" i="12"/>
  <c r="A47" i="12"/>
  <c r="A27" i="13"/>
  <c r="A24" i="11"/>
  <c r="L13" i="22"/>
  <c r="C48" i="16"/>
  <c r="B21" i="26"/>
  <c r="B20" i="27"/>
  <c r="A20" i="2"/>
  <c r="I28" i="15"/>
  <c r="D14" i="22"/>
  <c r="J15" i="22" s="1"/>
  <c r="A16" i="24"/>
  <c r="A15" i="22"/>
  <c r="B17" i="4"/>
  <c r="A18" i="25"/>
  <c r="A15" i="23"/>
  <c r="B18" i="3"/>
  <c r="A21" i="18" l="1"/>
  <c r="I39" i="1"/>
  <c r="B40" i="18"/>
  <c r="A36" i="1"/>
  <c r="F41" i="13"/>
  <c r="A22" i="10"/>
  <c r="A26" i="13"/>
  <c r="A23" i="11"/>
  <c r="A46" i="12"/>
  <c r="A24" i="12"/>
  <c r="D48" i="16"/>
  <c r="B22" i="26"/>
  <c r="B21" i="27"/>
  <c r="A19" i="2"/>
  <c r="J28" i="15"/>
  <c r="A16" i="22"/>
  <c r="A19" i="25"/>
  <c r="A16" i="23"/>
  <c r="A17" i="24"/>
  <c r="B18" i="4"/>
  <c r="D15" i="22"/>
  <c r="J16" i="22" s="1"/>
  <c r="L14" i="22"/>
  <c r="A22" i="18"/>
  <c r="B19" i="3"/>
  <c r="I38" i="1" l="1"/>
  <c r="B39" i="18"/>
  <c r="A35" i="1"/>
  <c r="G41" i="13"/>
  <c r="G32" i="13" s="1"/>
  <c r="A21" i="10"/>
  <c r="A22" i="11"/>
  <c r="A25" i="13"/>
  <c r="A45" i="12"/>
  <c r="A23" i="12"/>
  <c r="B23" i="26"/>
  <c r="B22" i="27"/>
  <c r="A18" i="2"/>
  <c r="K28" i="15"/>
  <c r="D16" i="22"/>
  <c r="J17" i="22" s="1"/>
  <c r="L15" i="22"/>
  <c r="A18" i="24"/>
  <c r="A17" i="23"/>
  <c r="A17" i="22"/>
  <c r="A20" i="25"/>
  <c r="B19" i="4"/>
  <c r="A23" i="18"/>
  <c r="B20" i="3"/>
  <c r="E18" i="18" l="1"/>
  <c r="D18" i="18"/>
  <c r="D19" i="18"/>
  <c r="D39" i="18"/>
  <c r="I37" i="1"/>
  <c r="B38" i="18"/>
  <c r="A34" i="1"/>
  <c r="L16" i="22"/>
  <c r="A20" i="10"/>
  <c r="A24" i="13"/>
  <c r="A21" i="11"/>
  <c r="A44" i="12"/>
  <c r="A22" i="12"/>
  <c r="F48" i="16"/>
  <c r="E48" i="16"/>
  <c r="B24" i="26"/>
  <c r="B23" i="27"/>
  <c r="A17" i="2"/>
  <c r="L28" i="15"/>
  <c r="A18" i="22"/>
  <c r="A21" i="25"/>
  <c r="A19" i="24"/>
  <c r="B20" i="4"/>
  <c r="A18" i="23"/>
  <c r="D17" i="22"/>
  <c r="J18" i="22" s="1"/>
  <c r="B21" i="3"/>
  <c r="A24" i="18"/>
  <c r="E21" i="18" s="1"/>
  <c r="E19" i="18" l="1"/>
  <c r="D20" i="18"/>
  <c r="D23" i="18"/>
  <c r="E20" i="18"/>
  <c r="E23" i="18"/>
  <c r="D21" i="18"/>
  <c r="D24" i="18"/>
  <c r="E24" i="18"/>
  <c r="E12" i="18"/>
  <c r="E13" i="18"/>
  <c r="F13" i="18" s="1"/>
  <c r="G13" i="18" s="1"/>
  <c r="D12" i="18"/>
  <c r="D13" i="18"/>
  <c r="E16" i="18"/>
  <c r="D17" i="18"/>
  <c r="E14" i="18"/>
  <c r="E15" i="18"/>
  <c r="D16" i="18"/>
  <c r="D15" i="18"/>
  <c r="E17" i="18"/>
  <c r="D14" i="18"/>
  <c r="E22" i="18"/>
  <c r="D22" i="18"/>
  <c r="G29" i="16"/>
  <c r="D40" i="18" s="1"/>
  <c r="D38" i="18"/>
  <c r="I36" i="1"/>
  <c r="B37" i="18"/>
  <c r="A33" i="1"/>
  <c r="A19" i="10"/>
  <c r="A43" i="12"/>
  <c r="A21" i="12"/>
  <c r="A20" i="11"/>
  <c r="A23" i="13"/>
  <c r="L17" i="22"/>
  <c r="B25" i="26"/>
  <c r="B24" i="27"/>
  <c r="A16" i="2"/>
  <c r="M28" i="15"/>
  <c r="A20" i="24"/>
  <c r="A19" i="22"/>
  <c r="A22" i="25"/>
  <c r="A19" i="23"/>
  <c r="B21" i="4"/>
  <c r="D18" i="22"/>
  <c r="J19" i="22" s="1"/>
  <c r="A25" i="18"/>
  <c r="A26" i="18" s="1"/>
  <c r="A27" i="18" s="1"/>
  <c r="A28" i="18" s="1"/>
  <c r="A29" i="18" s="1"/>
  <c r="A30" i="18" s="1"/>
  <c r="A31" i="18" s="1"/>
  <c r="A32" i="18" s="1"/>
  <c r="A33" i="18" s="1"/>
  <c r="A34" i="18" s="1"/>
  <c r="A35" i="18" s="1"/>
  <c r="A36" i="18" s="1"/>
  <c r="A37" i="18" s="1"/>
  <c r="A38" i="18" s="1"/>
  <c r="A39" i="18" s="1"/>
  <c r="A40" i="18" s="1"/>
  <c r="A41" i="18" s="1"/>
  <c r="B22" i="3"/>
  <c r="D37" i="18" l="1"/>
  <c r="I35" i="1"/>
  <c r="B36" i="18"/>
  <c r="A32" i="1"/>
  <c r="A18" i="10"/>
  <c r="A19" i="11"/>
  <c r="A22" i="13"/>
  <c r="A20" i="12"/>
  <c r="A42" i="12"/>
  <c r="L18" i="22"/>
  <c r="B26" i="26"/>
  <c r="B25" i="27"/>
  <c r="A15" i="2"/>
  <c r="N28" i="15"/>
  <c r="A21" i="24"/>
  <c r="A23" i="25"/>
  <c r="A20" i="23"/>
  <c r="A20" i="22"/>
  <c r="B22" i="4"/>
  <c r="D19" i="22"/>
  <c r="J20" i="22" s="1"/>
  <c r="A42" i="18"/>
  <c r="B23" i="3"/>
  <c r="D36" i="18" l="1"/>
  <c r="I34" i="1"/>
  <c r="B35" i="18"/>
  <c r="A31" i="1"/>
  <c r="A17" i="10"/>
  <c r="A21" i="13"/>
  <c r="A41" i="12"/>
  <c r="A19" i="12"/>
  <c r="A18" i="11"/>
  <c r="B26" i="27"/>
  <c r="B27" i="26"/>
  <c r="A14" i="2"/>
  <c r="L19" i="22"/>
  <c r="O28" i="15"/>
  <c r="A24" i="25"/>
  <c r="A21" i="22"/>
  <c r="A21" i="23"/>
  <c r="B23" i="4"/>
  <c r="A22" i="24"/>
  <c r="D20" i="22"/>
  <c r="J21" i="22" s="1"/>
  <c r="A43" i="18"/>
  <c r="B24" i="3"/>
  <c r="D35" i="18" l="1"/>
  <c r="I33" i="1"/>
  <c r="B34" i="18"/>
  <c r="A30" i="1"/>
  <c r="A44" i="18"/>
  <c r="A16" i="10"/>
  <c r="A18" i="12"/>
  <c r="A40" i="12"/>
  <c r="A17" i="11"/>
  <c r="A20" i="13"/>
  <c r="B28" i="26"/>
  <c r="B27" i="27"/>
  <c r="A13" i="2"/>
  <c r="L20" i="22"/>
  <c r="P28" i="15"/>
  <c r="B24" i="4"/>
  <c r="A22" i="22"/>
  <c r="A23" i="24"/>
  <c r="A25" i="25"/>
  <c r="A22" i="23"/>
  <c r="D21" i="22"/>
  <c r="J22" i="22" s="1"/>
  <c r="B25" i="3"/>
  <c r="D34" i="18" l="1"/>
  <c r="I32" i="1"/>
  <c r="B33" i="18"/>
  <c r="A29" i="1"/>
  <c r="A45" i="18"/>
  <c r="A15" i="10"/>
  <c r="A17" i="12"/>
  <c r="A39" i="12"/>
  <c r="A19" i="13"/>
  <c r="A16" i="11"/>
  <c r="B29" i="26"/>
  <c r="B28" i="27"/>
  <c r="A25" i="19"/>
  <c r="A12" i="2"/>
  <c r="L21" i="22"/>
  <c r="Q28" i="15"/>
  <c r="D22" i="22"/>
  <c r="J23" i="22" s="1"/>
  <c r="A23" i="23"/>
  <c r="A24" i="24"/>
  <c r="A26" i="25"/>
  <c r="A23" i="22"/>
  <c r="B25" i="4"/>
  <c r="B26" i="3"/>
  <c r="D33" i="18" l="1"/>
  <c r="I31" i="1"/>
  <c r="B32" i="18"/>
  <c r="A28" i="1"/>
  <c r="A14" i="10"/>
  <c r="A16" i="12"/>
  <c r="A38" i="12"/>
  <c r="A15" i="11"/>
  <c r="A18" i="13"/>
  <c r="T28" i="15"/>
  <c r="U28" i="15"/>
  <c r="B29" i="27"/>
  <c r="B30" i="26"/>
  <c r="A25" i="20"/>
  <c r="A24" i="19"/>
  <c r="A11" i="2"/>
  <c r="L22" i="22"/>
  <c r="R28" i="15"/>
  <c r="B26" i="4"/>
  <c r="A24" i="22"/>
  <c r="A25" i="24"/>
  <c r="A27" i="25"/>
  <c r="A24" i="23"/>
  <c r="D23" i="22"/>
  <c r="J24" i="22" s="1"/>
  <c r="B27" i="3"/>
  <c r="D32" i="18" l="1"/>
  <c r="I30" i="1"/>
  <c r="B31" i="18"/>
  <c r="A27" i="1"/>
  <c r="A13" i="10"/>
  <c r="A14" i="11"/>
  <c r="A15" i="12"/>
  <c r="A37" i="12"/>
  <c r="A17" i="13"/>
  <c r="B31" i="26"/>
  <c r="B30" i="27"/>
  <c r="A23" i="19"/>
  <c r="A10" i="2"/>
  <c r="A24" i="20"/>
  <c r="A25" i="21"/>
  <c r="L23" i="22"/>
  <c r="D24" i="22"/>
  <c r="J25" i="22" s="1"/>
  <c r="A25" i="23"/>
  <c r="B27" i="4"/>
  <c r="A28" i="25"/>
  <c r="A26" i="24"/>
  <c r="A25" i="22"/>
  <c r="B28" i="3"/>
  <c r="D31" i="18" l="1"/>
  <c r="I29" i="1"/>
  <c r="B30" i="18"/>
  <c r="A26" i="1"/>
  <c r="A12" i="10"/>
  <c r="A16" i="13"/>
  <c r="A14" i="12"/>
  <c r="A36" i="12"/>
  <c r="A13" i="11"/>
  <c r="B32" i="26"/>
  <c r="B31" i="27"/>
  <c r="A23" i="20"/>
  <c r="A22" i="19"/>
  <c r="A9" i="2"/>
  <c r="A24" i="21"/>
  <c r="A25" i="15"/>
  <c r="L24" i="22"/>
  <c r="D25" i="22"/>
  <c r="J26" i="22" s="1"/>
  <c r="A27" i="24"/>
  <c r="A26" i="22"/>
  <c r="A29" i="25"/>
  <c r="A26" i="23"/>
  <c r="B28" i="4"/>
  <c r="B29" i="3"/>
  <c r="D30" i="18" l="1"/>
  <c r="I28" i="1"/>
  <c r="B29" i="18"/>
  <c r="A25" i="1"/>
  <c r="A11" i="10"/>
  <c r="A35" i="12"/>
  <c r="A13" i="12"/>
  <c r="A15" i="13"/>
  <c r="A12" i="11"/>
  <c r="L25" i="22"/>
  <c r="B33" i="26"/>
  <c r="B32" i="27"/>
  <c r="A24" i="15"/>
  <c r="A49" i="15"/>
  <c r="A22" i="20"/>
  <c r="A23" i="21"/>
  <c r="A8" i="2"/>
  <c r="A21" i="19"/>
  <c r="A27" i="22"/>
  <c r="A30" i="25"/>
  <c r="A27" i="23"/>
  <c r="B29" i="4"/>
  <c r="A28" i="24"/>
  <c r="D26" i="22"/>
  <c r="J27" i="22" s="1"/>
  <c r="B30" i="3"/>
  <c r="D29" i="18" l="1"/>
  <c r="I27" i="1"/>
  <c r="B28" i="18"/>
  <c r="A24" i="1"/>
  <c r="A10" i="10"/>
  <c r="A11" i="11"/>
  <c r="A14" i="13"/>
  <c r="A12" i="12"/>
  <c r="A34" i="12"/>
  <c r="B33" i="27"/>
  <c r="B34" i="26"/>
  <c r="A20" i="19"/>
  <c r="A21" i="20"/>
  <c r="A7" i="2"/>
  <c r="A22" i="21"/>
  <c r="A48" i="15"/>
  <c r="A23" i="15"/>
  <c r="L26" i="22"/>
  <c r="B30" i="4"/>
  <c r="A29" i="24"/>
  <c r="A28" i="23"/>
  <c r="A28" i="22"/>
  <c r="A31" i="25"/>
  <c r="D27" i="22"/>
  <c r="J28" i="22" s="1"/>
  <c r="B31" i="3"/>
  <c r="D28" i="18" l="1"/>
  <c r="I26" i="1"/>
  <c r="B27" i="18"/>
  <c r="A23" i="1"/>
  <c r="A9" i="10"/>
  <c r="A13" i="13"/>
  <c r="A10" i="11"/>
  <c r="A33" i="12"/>
  <c r="A11" i="12"/>
  <c r="L27" i="22"/>
  <c r="B34" i="27"/>
  <c r="B35" i="26"/>
  <c r="A47" i="15"/>
  <c r="A22" i="15"/>
  <c r="A21" i="21"/>
  <c r="A6" i="2"/>
  <c r="A19" i="19"/>
  <c r="A20" i="20"/>
  <c r="D28" i="22"/>
  <c r="J29" i="22" s="1"/>
  <c r="A29" i="23"/>
  <c r="A29" i="22"/>
  <c r="A30" i="24"/>
  <c r="B31" i="4"/>
  <c r="A32" i="25"/>
  <c r="B32" i="3"/>
  <c r="D27" i="18" l="1"/>
  <c r="I25" i="1"/>
  <c r="B26" i="18"/>
  <c r="A22" i="1"/>
  <c r="A8" i="10"/>
  <c r="A10" i="12"/>
  <c r="A12" i="13"/>
  <c r="A9" i="11"/>
  <c r="B36" i="26"/>
  <c r="B35" i="27"/>
  <c r="A5" i="2"/>
  <c r="A18" i="19"/>
  <c r="A20" i="21"/>
  <c r="A46" i="15"/>
  <c r="A21" i="15"/>
  <c r="A19" i="20"/>
  <c r="L28" i="22"/>
  <c r="A33" i="25"/>
  <c r="A31" i="24"/>
  <c r="B32" i="4"/>
  <c r="A30" i="23"/>
  <c r="A30" i="22"/>
  <c r="D29" i="22"/>
  <c r="J30" i="22" s="1"/>
  <c r="B33" i="3"/>
  <c r="D26" i="18" l="1"/>
  <c r="I24" i="1"/>
  <c r="B25" i="18"/>
  <c r="A21" i="1"/>
  <c r="A7" i="10"/>
  <c r="A8" i="11"/>
  <c r="A9" i="12"/>
  <c r="A11" i="13"/>
  <c r="B37" i="26"/>
  <c r="B36" i="27"/>
  <c r="A18" i="20"/>
  <c r="A19" i="21"/>
  <c r="A17" i="19"/>
  <c r="A20" i="15"/>
  <c r="A45" i="15"/>
  <c r="D30" i="22"/>
  <c r="J31" i="22" s="1"/>
  <c r="B33" i="4"/>
  <c r="A32" i="24"/>
  <c r="A31" i="22"/>
  <c r="A31" i="23"/>
  <c r="A34" i="25"/>
  <c r="L29" i="22"/>
  <c r="B34" i="3"/>
  <c r="D25" i="18" l="1"/>
  <c r="E25" i="18"/>
  <c r="B24" i="18"/>
  <c r="I23" i="1"/>
  <c r="A20" i="1"/>
  <c r="A6" i="10"/>
  <c r="A7" i="11"/>
  <c r="A8" i="12"/>
  <c r="A10" i="13"/>
  <c r="B38" i="26"/>
  <c r="B37" i="27"/>
  <c r="A18" i="21"/>
  <c r="A16" i="19"/>
  <c r="A44" i="15"/>
  <c r="A19" i="15"/>
  <c r="A17" i="20"/>
  <c r="D31" i="22"/>
  <c r="J32" i="22" s="1"/>
  <c r="B34" i="4"/>
  <c r="A33" i="24"/>
  <c r="A32" i="22"/>
  <c r="A35" i="25"/>
  <c r="A32" i="23"/>
  <c r="L30" i="22"/>
  <c r="B35" i="3"/>
  <c r="B23" i="18" l="1"/>
  <c r="I22" i="1"/>
  <c r="A19" i="1"/>
  <c r="A5" i="10"/>
  <c r="A6" i="11"/>
  <c r="A9" i="13"/>
  <c r="A7" i="12"/>
  <c r="C42" i="26"/>
  <c r="A43" i="15"/>
  <c r="A18" i="15"/>
  <c r="A17" i="21"/>
  <c r="A16" i="20"/>
  <c r="A15" i="19"/>
  <c r="D32" i="22"/>
  <c r="J33" i="22" s="1"/>
  <c r="A34" i="24"/>
  <c r="A36" i="25"/>
  <c r="B35" i="4"/>
  <c r="A33" i="23"/>
  <c r="A33" i="22"/>
  <c r="L31" i="22"/>
  <c r="B36" i="3"/>
  <c r="B22" i="18" l="1"/>
  <c r="I21" i="1"/>
  <c r="A18" i="1"/>
  <c r="B40" i="27"/>
  <c r="A6" i="12"/>
  <c r="A8" i="13"/>
  <c r="A5" i="11"/>
  <c r="A15" i="20"/>
  <c r="A16" i="21"/>
  <c r="A42" i="15"/>
  <c r="A17" i="15"/>
  <c r="A14" i="19"/>
  <c r="D33" i="22"/>
  <c r="J34" i="22" s="1"/>
  <c r="L32" i="22"/>
  <c r="A34" i="23"/>
  <c r="B36" i="4"/>
  <c r="A34" i="22"/>
  <c r="A37" i="25"/>
  <c r="A35" i="24"/>
  <c r="B37" i="3"/>
  <c r="B21" i="18" l="1"/>
  <c r="I20" i="1"/>
  <c r="A17" i="1"/>
  <c r="L33" i="22"/>
  <c r="A7" i="13"/>
  <c r="A5" i="12"/>
  <c r="A19" i="14"/>
  <c r="A13" i="19"/>
  <c r="A41" i="15"/>
  <c r="A16" i="15"/>
  <c r="A15" i="21"/>
  <c r="A14" i="20"/>
  <c r="A35" i="23"/>
  <c r="A38" i="25"/>
  <c r="A35" i="22"/>
  <c r="A36" i="24"/>
  <c r="B37" i="4"/>
  <c r="D34" i="22"/>
  <c r="J35" i="22" s="1"/>
  <c r="B38" i="3"/>
  <c r="B20" i="18" l="1"/>
  <c r="I19" i="1"/>
  <c r="A16" i="1"/>
  <c r="A6" i="13"/>
  <c r="A18" i="14"/>
  <c r="A13" i="20"/>
  <c r="A40" i="15"/>
  <c r="A15" i="15"/>
  <c r="A14" i="21"/>
  <c r="A12" i="19"/>
  <c r="L34" i="22"/>
  <c r="B38" i="4"/>
  <c r="A37" i="24"/>
  <c r="A39" i="25"/>
  <c r="A36" i="23"/>
  <c r="A36" i="22"/>
  <c r="D35" i="22"/>
  <c r="J36" i="22" s="1"/>
  <c r="B39" i="3"/>
  <c r="B19" i="18" l="1"/>
  <c r="I18" i="1"/>
  <c r="A15" i="1"/>
  <c r="A17" i="14"/>
  <c r="A5" i="13"/>
  <c r="A11" i="19"/>
  <c r="A12" i="20"/>
  <c r="A39" i="15"/>
  <c r="A14" i="15"/>
  <c r="A13" i="21"/>
  <c r="L35" i="22"/>
  <c r="D36" i="22"/>
  <c r="J37" i="22" s="1"/>
  <c r="A40" i="25"/>
  <c r="A37" i="23"/>
  <c r="A37" i="22"/>
  <c r="B39" i="4"/>
  <c r="A38" i="24"/>
  <c r="B40" i="3"/>
  <c r="B41" i="3" l="1"/>
  <c r="B18" i="18"/>
  <c r="I17" i="1"/>
  <c r="A14" i="1"/>
  <c r="A16" i="14"/>
  <c r="A12" i="21"/>
  <c r="A13" i="15"/>
  <c r="A38" i="15"/>
  <c r="A11" i="20"/>
  <c r="A10" i="19"/>
  <c r="L36" i="22"/>
  <c r="D37" i="22"/>
  <c r="J38" i="22" s="1"/>
  <c r="A41" i="25"/>
  <c r="A38" i="22"/>
  <c r="A38" i="23"/>
  <c r="B40" i="4"/>
  <c r="A42" i="25" s="1"/>
  <c r="A39" i="24"/>
  <c r="G42" i="7" l="1"/>
  <c r="G43" i="7"/>
  <c r="G42" i="29"/>
  <c r="G43" i="29"/>
  <c r="D37" i="3"/>
  <c r="B17" i="18"/>
  <c r="I16" i="1"/>
  <c r="A13" i="1"/>
  <c r="A15" i="14"/>
  <c r="A10" i="20"/>
  <c r="A37" i="15"/>
  <c r="A12" i="15"/>
  <c r="A11" i="21"/>
  <c r="A9" i="19"/>
  <c r="A8" i="19" s="1"/>
  <c r="A7" i="19" s="1"/>
  <c r="A6" i="19" s="1"/>
  <c r="A5" i="19" s="1"/>
  <c r="L37" i="22"/>
  <c r="D38" i="22"/>
  <c r="J39" i="22" s="1"/>
  <c r="A39" i="22"/>
  <c r="A40" i="24"/>
  <c r="B41" i="4"/>
  <c r="A39" i="23"/>
  <c r="B16" i="18" l="1"/>
  <c r="I15" i="1"/>
  <c r="A12" i="1"/>
  <c r="B42" i="4"/>
  <c r="A41" i="24"/>
  <c r="A40" i="23"/>
  <c r="A14" i="14"/>
  <c r="A9" i="20"/>
  <c r="A10" i="21"/>
  <c r="A11" i="15"/>
  <c r="A36" i="15"/>
  <c r="A40" i="22"/>
  <c r="D39" i="22"/>
  <c r="J40" i="22" s="1"/>
  <c r="L38" i="22"/>
  <c r="B15" i="18" l="1"/>
  <c r="I14" i="1"/>
  <c r="A11" i="1"/>
  <c r="A10" i="1" s="1"/>
  <c r="A9" i="1" s="1"/>
  <c r="A8" i="1" s="1"/>
  <c r="A7" i="1" s="1"/>
  <c r="A6" i="1" s="1"/>
  <c r="A41" i="22"/>
  <c r="A42" i="24"/>
  <c r="A41" i="23"/>
  <c r="A13" i="14"/>
  <c r="A9" i="21"/>
  <c r="A8" i="20"/>
  <c r="A10" i="15"/>
  <c r="A35" i="15"/>
  <c r="D40" i="22"/>
  <c r="L39" i="22"/>
  <c r="B14" i="18" l="1"/>
  <c r="I13" i="1"/>
  <c r="G40" i="23"/>
  <c r="D41" i="22"/>
  <c r="A43" i="22"/>
  <c r="A44" i="24"/>
  <c r="A43" i="23"/>
  <c r="A44" i="22"/>
  <c r="A12" i="14"/>
  <c r="L40" i="22"/>
  <c r="A8" i="21"/>
  <c r="A34" i="15"/>
  <c r="A9" i="15"/>
  <c r="L41" i="22" l="1"/>
  <c r="I12" i="1"/>
  <c r="D43" i="22"/>
  <c r="L44" i="22" s="1"/>
  <c r="A44" i="23"/>
  <c r="A45" i="24"/>
  <c r="C41" i="24"/>
  <c r="G41" i="23"/>
  <c r="E42" i="24" s="1"/>
  <c r="E41" i="24"/>
  <c r="C34" i="24"/>
  <c r="C42" i="24"/>
  <c r="A11" i="14"/>
  <c r="C39" i="24"/>
  <c r="C17" i="24"/>
  <c r="C29" i="24"/>
  <c r="C23" i="24"/>
  <c r="C15" i="24"/>
  <c r="A33" i="15"/>
  <c r="A8" i="15"/>
  <c r="C13" i="24"/>
  <c r="C30" i="24"/>
  <c r="C25" i="24"/>
  <c r="C22" i="24"/>
  <c r="C21" i="24"/>
  <c r="C19" i="24"/>
  <c r="C11" i="24"/>
  <c r="C10" i="24"/>
  <c r="C38" i="24"/>
  <c r="C35" i="24"/>
  <c r="C37" i="24"/>
  <c r="C31" i="24"/>
  <c r="C26" i="24"/>
  <c r="C28" i="24"/>
  <c r="C27" i="24"/>
  <c r="C20" i="24"/>
  <c r="C18" i="24"/>
  <c r="C16" i="24"/>
  <c r="C24" i="24"/>
  <c r="C14" i="24"/>
  <c r="C12" i="24"/>
  <c r="C9" i="24"/>
  <c r="C36" i="24"/>
  <c r="C33" i="24"/>
  <c r="C32" i="24"/>
  <c r="C40" i="24"/>
  <c r="I11" i="1" l="1"/>
  <c r="C45" i="24"/>
  <c r="E45" i="24"/>
  <c r="C9" i="25"/>
  <c r="B50" i="24"/>
  <c r="L43" i="22"/>
  <c r="C44" i="24" s="1"/>
  <c r="G43" i="23"/>
  <c r="E44" i="24" s="1"/>
  <c r="G41" i="24"/>
  <c r="G42" i="24"/>
  <c r="A10" i="14"/>
  <c r="A32" i="15"/>
  <c r="G45" i="24" l="1"/>
  <c r="G44" i="24"/>
  <c r="A9" i="14"/>
  <c r="A8" i="14" l="1"/>
  <c r="A7" i="14" s="1"/>
  <c r="A6" i="14" s="1"/>
  <c r="A5" i="14" s="1"/>
  <c r="E41" i="29" l="1"/>
  <c r="G19" i="23" l="1"/>
  <c r="G8" i="23"/>
  <c r="G15" i="23"/>
  <c r="G22" i="23"/>
  <c r="G30" i="23"/>
  <c r="G26" i="23"/>
  <c r="G23" i="23"/>
  <c r="G16" i="23"/>
  <c r="G12" i="23"/>
  <c r="G31" i="23"/>
  <c r="G24" i="23"/>
  <c r="G10" i="23"/>
  <c r="G27" i="23"/>
  <c r="G14" i="23"/>
  <c r="G32" i="23" l="1"/>
  <c r="E11" i="24"/>
  <c r="E27" i="24"/>
  <c r="E9" i="24"/>
  <c r="E13" i="24"/>
  <c r="G36" i="23"/>
  <c r="E25" i="24"/>
  <c r="E31" i="24"/>
  <c r="G39" i="23"/>
  <c r="G34" i="23"/>
  <c r="E15" i="24"/>
  <c r="G11" i="23"/>
  <c r="E17" i="24"/>
  <c r="E23" i="24"/>
  <c r="G35" i="23"/>
  <c r="G38" i="23"/>
  <c r="E28" i="24"/>
  <c r="E24" i="24"/>
  <c r="E16" i="24"/>
  <c r="E20" i="24"/>
  <c r="G28" i="23"/>
  <c r="E32" i="24"/>
  <c r="E29" i="24" l="1"/>
  <c r="G15" i="24"/>
  <c r="G9" i="24"/>
  <c r="G28" i="24"/>
  <c r="G31" i="24"/>
  <c r="G13" i="23"/>
  <c r="G20" i="23"/>
  <c r="G17" i="23"/>
  <c r="G25" i="23"/>
  <c r="G23" i="24"/>
  <c r="E35" i="24"/>
  <c r="G27" i="24"/>
  <c r="G20" i="24"/>
  <c r="E39" i="24"/>
  <c r="G25" i="24"/>
  <c r="G29" i="23"/>
  <c r="G9" i="23"/>
  <c r="G11" i="24"/>
  <c r="G16" i="24"/>
  <c r="G17" i="24"/>
  <c r="E40" i="24"/>
  <c r="E37" i="24"/>
  <c r="G37" i="23"/>
  <c r="G18" i="23"/>
  <c r="G21" i="23"/>
  <c r="G24" i="24"/>
  <c r="E36" i="24"/>
  <c r="E12" i="24"/>
  <c r="G13" i="24"/>
  <c r="E33" i="24"/>
  <c r="G32" i="24"/>
  <c r="G35" i="24" l="1"/>
  <c r="E21" i="24"/>
  <c r="G37" i="24"/>
  <c r="G39" i="24"/>
  <c r="E14" i="24"/>
  <c r="G33" i="24"/>
  <c r="E22" i="24"/>
  <c r="G40" i="24"/>
  <c r="I39" i="24" s="1"/>
  <c r="E26" i="24"/>
  <c r="G12" i="24"/>
  <c r="E19" i="24"/>
  <c r="E10" i="24"/>
  <c r="G36" i="24"/>
  <c r="E38" i="24"/>
  <c r="E30" i="24"/>
  <c r="E18" i="24"/>
  <c r="G29" i="24"/>
  <c r="I38" i="24" l="1"/>
  <c r="G10" i="24"/>
  <c r="G18" i="24"/>
  <c r="G22" i="24"/>
  <c r="G19" i="24"/>
  <c r="G21" i="24"/>
  <c r="G38" i="24"/>
  <c r="G14" i="24"/>
  <c r="G30" i="24"/>
  <c r="G26" i="24"/>
  <c r="I37" i="24" l="1"/>
  <c r="I36" i="24" s="1"/>
  <c r="I35" i="24" s="1"/>
  <c r="I34" i="24" s="1"/>
  <c r="G33" i="23" l="1"/>
  <c r="E34" i="24" l="1"/>
  <c r="G34" i="24" l="1"/>
  <c r="I33" i="24" s="1"/>
  <c r="I32" i="24" s="1"/>
  <c r="I31" i="24" s="1"/>
  <c r="I30" i="24" s="1"/>
  <c r="I29" i="24" s="1"/>
  <c r="I28" i="24" s="1"/>
  <c r="I27" i="24" s="1"/>
  <c r="I26" i="24" s="1"/>
  <c r="I25" i="24" s="1"/>
  <c r="I24" i="24" s="1"/>
  <c r="I23" i="24" s="1"/>
  <c r="I22" i="24" s="1"/>
  <c r="I21" i="24" s="1"/>
  <c r="I20" i="24" s="1"/>
  <c r="I19" i="24" s="1"/>
  <c r="I18" i="24" s="1"/>
  <c r="I17" i="24" s="1"/>
  <c r="I16" i="24" s="1"/>
  <c r="I15" i="24" s="1"/>
  <c r="I14" i="24" s="1"/>
  <c r="I13" i="24" s="1"/>
  <c r="I12" i="24" s="1"/>
  <c r="I11" i="24" s="1"/>
  <c r="I10" i="24" s="1"/>
  <c r="I9" i="24" s="1"/>
  <c r="E40" i="29" l="1"/>
  <c r="E39" i="29" l="1"/>
  <c r="E38" i="29" l="1"/>
  <c r="E37" i="29" l="1"/>
  <c r="E36" i="29" l="1"/>
  <c r="E35" i="29" l="1"/>
  <c r="E34" i="29" l="1"/>
  <c r="E33" i="29" l="1"/>
  <c r="E32" i="29" l="1"/>
  <c r="E31" i="29" l="1"/>
  <c r="E30" i="29" l="1"/>
  <c r="E29" i="29" l="1"/>
  <c r="E28" i="29" l="1"/>
  <c r="E27" i="29" l="1"/>
  <c r="E26" i="29" l="1"/>
  <c r="E25" i="29" l="1"/>
  <c r="E24" i="29" l="1"/>
  <c r="E23" i="29" l="1"/>
  <c r="E22" i="29" l="1"/>
  <c r="E21" i="29" l="1"/>
  <c r="E20" i="29" l="1"/>
  <c r="E19" i="29" l="1"/>
  <c r="E18" i="29" l="1"/>
  <c r="E17" i="29" l="1"/>
  <c r="E16" i="29" l="1"/>
  <c r="E15" i="29" l="1"/>
  <c r="E14" i="29" l="1"/>
  <c r="E13" i="29" l="1"/>
  <c r="E12" i="29" l="1"/>
  <c r="E11" i="29" l="1"/>
  <c r="E10" i="29" l="1"/>
  <c r="O41" i="25" l="1"/>
  <c r="O37" i="25"/>
  <c r="O19" i="25"/>
  <c r="O15" i="25"/>
  <c r="O39" i="25"/>
  <c r="O38" i="25"/>
  <c r="O31" i="25"/>
  <c r="O27" i="25"/>
  <c r="O23" i="25"/>
  <c r="O40" i="25"/>
  <c r="O32" i="25"/>
  <c r="O28" i="25"/>
  <c r="O24" i="25"/>
  <c r="O20" i="25"/>
  <c r="O16" i="25"/>
  <c r="O12" i="25"/>
  <c r="O34" i="25"/>
  <c r="O36" i="25"/>
  <c r="O35" i="25"/>
  <c r="O42" i="25"/>
  <c r="O33" i="25"/>
  <c r="O30" i="25"/>
  <c r="O29" i="25"/>
  <c r="O25" i="25"/>
  <c r="O14" i="25"/>
  <c r="O22" i="25"/>
  <c r="O21" i="25"/>
  <c r="O18" i="25"/>
  <c r="O17" i="25"/>
  <c r="O13" i="25"/>
  <c r="O26" i="25"/>
  <c r="C42" i="25" l="1"/>
  <c r="C41" i="25" l="1"/>
  <c r="C40" i="25" l="1"/>
  <c r="C39" i="25" l="1"/>
  <c r="C38" i="25" l="1"/>
  <c r="C37" i="25" l="1"/>
  <c r="C36" i="25" l="1"/>
  <c r="C35" i="25" l="1"/>
  <c r="C34" i="25" l="1"/>
  <c r="C33" i="25" l="1"/>
  <c r="C32" i="25" l="1"/>
  <c r="C31" i="25" l="1"/>
  <c r="C30" i="25" l="1"/>
  <c r="C29" i="25" l="1"/>
  <c r="C28" i="25" l="1"/>
  <c r="C27" i="25" l="1"/>
  <c r="C26" i="25" l="1"/>
  <c r="C25" i="25" l="1"/>
  <c r="C24" i="25" l="1"/>
  <c r="C23" i="25" l="1"/>
  <c r="C22" i="25" l="1"/>
  <c r="C21" i="25" l="1"/>
  <c r="C20" i="25" l="1"/>
  <c r="C19" i="25" l="1"/>
  <c r="S19" i="25" s="1"/>
  <c r="C18" i="25" l="1"/>
  <c r="S18" i="25" s="1"/>
  <c r="C17" i="25" l="1"/>
  <c r="S17" i="25" s="1"/>
  <c r="C16" i="25" l="1"/>
  <c r="S16" i="25" s="1"/>
  <c r="C15" i="25" l="1"/>
  <c r="S15" i="25" s="1"/>
  <c r="C14" i="25" l="1"/>
  <c r="S14" i="25" s="1"/>
  <c r="C13" i="25" l="1"/>
  <c r="S13" i="25" s="1"/>
  <c r="C12" i="25" l="1"/>
  <c r="S12" i="25" s="1"/>
  <c r="C11" i="25" l="1"/>
  <c r="S11" i="25" s="1"/>
  <c r="D26" i="3" l="1"/>
  <c r="D25" i="3" l="1"/>
  <c r="D28" i="3" l="1"/>
  <c r="D29" i="3"/>
  <c r="D33" i="3"/>
  <c r="D32" i="3"/>
  <c r="D30" i="3"/>
  <c r="D34" i="3"/>
  <c r="D31" i="3"/>
  <c r="D24" i="3" l="1"/>
  <c r="D27" i="3"/>
  <c r="D23" i="3" l="1"/>
  <c r="G12" i="7" l="1"/>
  <c r="G12" i="29"/>
  <c r="G14" i="29"/>
  <c r="G14" i="7"/>
  <c r="G11" i="29"/>
  <c r="G11" i="7"/>
  <c r="G16" i="29"/>
  <c r="G16" i="7"/>
  <c r="G10" i="29"/>
  <c r="G10" i="7"/>
  <c r="G18" i="29"/>
  <c r="G18" i="7"/>
  <c r="G15" i="29"/>
  <c r="G15" i="7"/>
  <c r="G17" i="29"/>
  <c r="G17" i="7"/>
  <c r="G13" i="29"/>
  <c r="G13" i="7"/>
  <c r="I23" i="25"/>
  <c r="S23" i="25" s="1"/>
  <c r="G22" i="7" l="1"/>
  <c r="G22" i="29"/>
  <c r="I24" i="25"/>
  <c r="S24" i="25" s="1"/>
  <c r="I39" i="25"/>
  <c r="S39" i="25" s="1"/>
  <c r="I26" i="25"/>
  <c r="S26" i="25" s="1"/>
  <c r="I27" i="25"/>
  <c r="S27" i="25" s="1"/>
  <c r="I35" i="25"/>
  <c r="S35" i="25" s="1"/>
  <c r="I34" i="25"/>
  <c r="S34" i="25" s="1"/>
  <c r="I28" i="25"/>
  <c r="S28" i="25" s="1"/>
  <c r="I32" i="25"/>
  <c r="S32" i="25" s="1"/>
  <c r="I25" i="25"/>
  <c r="S25" i="25" s="1"/>
  <c r="I33" i="25"/>
  <c r="S33" i="25" s="1"/>
  <c r="I29" i="25"/>
  <c r="S29" i="25" s="1"/>
  <c r="I31" i="25"/>
  <c r="S31" i="25" s="1"/>
  <c r="I22" i="25"/>
  <c r="S22" i="25" s="1"/>
  <c r="I37" i="25"/>
  <c r="S37" i="25" s="1"/>
  <c r="G30" i="29" l="1"/>
  <c r="G30" i="7"/>
  <c r="G28" i="7"/>
  <c r="G28" i="29"/>
  <c r="G25" i="29"/>
  <c r="G25" i="7"/>
  <c r="G21" i="29"/>
  <c r="G21" i="7"/>
  <c r="G32" i="7"/>
  <c r="G32" i="29"/>
  <c r="G38" i="7"/>
  <c r="G38" i="29"/>
  <c r="G34" i="29"/>
  <c r="G34" i="7"/>
  <c r="G24" i="29"/>
  <c r="G24" i="7"/>
  <c r="G31" i="29"/>
  <c r="G31" i="7"/>
  <c r="G23" i="7"/>
  <c r="G23" i="29"/>
  <c r="G27" i="7"/>
  <c r="G27" i="29"/>
  <c r="G26" i="29"/>
  <c r="G26" i="7"/>
  <c r="G36" i="7"/>
  <c r="G36" i="29"/>
  <c r="G33" i="7"/>
  <c r="G33" i="29"/>
  <c r="I38" i="25"/>
  <c r="S38" i="25" s="1"/>
  <c r="I20" i="25"/>
  <c r="S20" i="25" s="1"/>
  <c r="I30" i="25"/>
  <c r="S30" i="25" s="1"/>
  <c r="I21" i="25"/>
  <c r="S21" i="25" s="1"/>
  <c r="G29" i="7" l="1"/>
  <c r="G29" i="29"/>
  <c r="G37" i="7"/>
  <c r="G37" i="29"/>
  <c r="G20" i="7"/>
  <c r="G20" i="29"/>
  <c r="G19" i="29"/>
  <c r="G19" i="7"/>
  <c r="I36" i="25"/>
  <c r="S36" i="25" s="1"/>
  <c r="G35" i="7" l="1"/>
  <c r="G35" i="29"/>
  <c r="I40" i="25" l="1"/>
  <c r="S40" i="25" s="1"/>
  <c r="I41" i="25"/>
  <c r="S41" i="25" s="1"/>
  <c r="I42" i="25"/>
  <c r="S42" i="25" s="1"/>
  <c r="G40" i="7" l="1"/>
  <c r="G40" i="29"/>
  <c r="G41" i="29"/>
  <c r="G41" i="7"/>
  <c r="G39" i="7"/>
  <c r="G39" i="29"/>
  <c r="D36" i="3" l="1"/>
  <c r="D35" i="3" l="1"/>
  <c r="Q29" i="21" l="1"/>
  <c r="P29" i="21" s="1"/>
  <c r="O29" i="21" s="1"/>
  <c r="N29" i="21" s="1"/>
  <c r="M29" i="21" s="1"/>
  <c r="L29" i="21" s="1"/>
  <c r="K29" i="21" s="1"/>
  <c r="J29" i="21" s="1"/>
  <c r="I29" i="21" s="1"/>
  <c r="H29" i="21" s="1"/>
  <c r="G29" i="21" s="1"/>
  <c r="F29" i="21" s="1"/>
  <c r="E29" i="21" s="1"/>
  <c r="D29" i="21" s="1"/>
  <c r="C29" i="21" s="1"/>
  <c r="B29" i="21" s="1"/>
  <c r="Q32" i="11" s="1"/>
  <c r="P32" i="11" s="1"/>
  <c r="O32" i="11" s="1"/>
  <c r="N32" i="11" s="1"/>
  <c r="M32" i="11" s="1"/>
  <c r="L32" i="11" s="1"/>
  <c r="K32" i="11" s="1"/>
  <c r="J32" i="11" s="1"/>
  <c r="I32" i="11" s="1"/>
  <c r="H32" i="11" s="1"/>
  <c r="G32" i="11" s="1"/>
  <c r="F32" i="11" s="1"/>
  <c r="E32" i="11" s="1"/>
  <c r="D32" i="11" s="1"/>
  <c r="C32" i="11" s="1"/>
  <c r="B32" i="11" s="1"/>
  <c r="L25" i="14" l="1"/>
  <c r="K25" i="14" s="1"/>
  <c r="J25" i="14" s="1"/>
  <c r="I25" i="14" s="1"/>
  <c r="H25" i="14" s="1"/>
  <c r="G25" i="14" s="1"/>
  <c r="F25" i="14" s="1"/>
  <c r="E25" i="14" s="1"/>
  <c r="D25" i="14" s="1"/>
  <c r="C25" i="14" s="1"/>
  <c r="F10" i="3"/>
  <c r="C10" i="7" s="1"/>
  <c r="F11" i="3" l="1"/>
  <c r="C11" i="7" s="1"/>
  <c r="F12" i="3" l="1"/>
  <c r="C12" i="7" s="1"/>
  <c r="F13" i="3" l="1"/>
  <c r="C13" i="7" s="1"/>
  <c r="F14" i="3" l="1"/>
  <c r="C14" i="7" s="1"/>
  <c r="F15" i="3" l="1"/>
  <c r="C15" i="7" s="1"/>
  <c r="F16" i="3" l="1"/>
  <c r="C16" i="7" s="1"/>
  <c r="F17" i="3" l="1"/>
  <c r="C17" i="7" s="1"/>
  <c r="F18" i="3" l="1"/>
  <c r="C18" i="7" s="1"/>
  <c r="F19" i="3" l="1"/>
  <c r="C19" i="7" s="1"/>
  <c r="F20" i="3" l="1"/>
  <c r="C20" i="7" s="1"/>
  <c r="B25" i="14"/>
  <c r="V33" i="13" s="1"/>
  <c r="F21" i="3" l="1"/>
  <c r="C21" i="7" s="1"/>
  <c r="C22" i="7"/>
  <c r="U33" i="13" l="1"/>
  <c r="T33" i="13" s="1"/>
  <c r="S33" i="13" s="1"/>
  <c r="R33" i="13" s="1"/>
  <c r="Q33" i="13" s="1"/>
  <c r="P33" i="13" s="1"/>
  <c r="O33" i="13" s="1"/>
  <c r="N33" i="13" s="1"/>
  <c r="M33" i="13" s="1"/>
  <c r="L33" i="13" s="1"/>
  <c r="K33" i="13" s="1"/>
  <c r="J33" i="13" s="1"/>
  <c r="I33" i="13" s="1"/>
  <c r="H33" i="13" s="1"/>
  <c r="G33" i="13" s="1"/>
  <c r="E24" i="3" l="1"/>
  <c r="F24" i="3" s="1"/>
  <c r="C24" i="7" s="1"/>
  <c r="E23" i="3"/>
  <c r="F23" i="3" s="1"/>
  <c r="C23" i="7" s="1"/>
  <c r="E25" i="3"/>
  <c r="F25" i="3" s="1"/>
  <c r="C25" i="7" s="1"/>
  <c r="E26" i="3" l="1"/>
  <c r="F26" i="3" s="1"/>
  <c r="C26" i="7" s="1"/>
  <c r="E27" i="3" l="1"/>
  <c r="F27" i="3" s="1"/>
  <c r="C27" i="7" s="1"/>
  <c r="E28" i="3" l="1"/>
  <c r="F28" i="3" s="1"/>
  <c r="C28" i="7" s="1"/>
  <c r="E29" i="3" l="1"/>
  <c r="F29" i="3" s="1"/>
  <c r="C29" i="7" s="1"/>
  <c r="E30" i="3" l="1"/>
  <c r="F30" i="3" s="1"/>
  <c r="C30" i="7" s="1"/>
  <c r="E31" i="3" l="1"/>
  <c r="F31" i="3" s="1"/>
  <c r="C31" i="7" s="1"/>
  <c r="E32" i="3" l="1"/>
  <c r="F32" i="3" s="1"/>
  <c r="C32" i="7" s="1"/>
  <c r="E33" i="3" l="1"/>
  <c r="F33" i="3" s="1"/>
  <c r="C33" i="7" s="1"/>
  <c r="E34" i="3" l="1"/>
  <c r="F34" i="3" s="1"/>
  <c r="C34" i="7" s="1"/>
  <c r="E35" i="3"/>
  <c r="F35" i="3" s="1"/>
  <c r="C35" i="7" s="1"/>
  <c r="E36" i="3" l="1"/>
  <c r="F36" i="3" s="1"/>
  <c r="C36" i="7" s="1"/>
  <c r="E37" i="3"/>
  <c r="F37" i="3" s="1"/>
  <c r="C37" i="7" s="1"/>
  <c r="Q52" i="15" l="1"/>
  <c r="P52" i="15" s="1"/>
  <c r="O52" i="15" s="1"/>
  <c r="N52" i="15" s="1"/>
  <c r="M52" i="15" s="1"/>
  <c r="L52" i="15" s="1"/>
  <c r="K52" i="15" s="1"/>
  <c r="J52" i="15" s="1"/>
  <c r="I52" i="15" s="1"/>
  <c r="H52" i="15" s="1"/>
  <c r="G52" i="15" s="1"/>
  <c r="F52" i="15" s="1"/>
  <c r="E52" i="15" s="1"/>
  <c r="D52" i="15" s="1"/>
  <c r="C52" i="15" s="1"/>
  <c r="B52" i="15" s="1"/>
  <c r="Q55" i="12" s="1"/>
  <c r="P55" i="12" s="1"/>
  <c r="O55" i="12" s="1"/>
  <c r="N55" i="12" s="1"/>
  <c r="M55" i="12" s="1"/>
  <c r="L55" i="12" s="1"/>
  <c r="K55" i="12" s="1"/>
  <c r="J55" i="12" s="1"/>
  <c r="I55" i="12" s="1"/>
  <c r="H55" i="12" s="1"/>
  <c r="G55" i="12" s="1"/>
  <c r="F55" i="12" s="1"/>
  <c r="E55" i="12" s="1"/>
  <c r="D55" i="12" s="1"/>
  <c r="C55" i="12" s="1"/>
  <c r="B55" i="12" s="1"/>
  <c r="U32" i="16" l="1"/>
  <c r="E26" i="18"/>
  <c r="T32" i="16" l="1"/>
  <c r="S32" i="16" l="1"/>
  <c r="E27" i="18"/>
  <c r="R32" i="16" l="1"/>
  <c r="E28" i="18"/>
  <c r="Q32" i="16" l="1"/>
  <c r="E29" i="18"/>
  <c r="P32" i="16" l="1"/>
  <c r="E30" i="18"/>
  <c r="O32" i="16" l="1"/>
  <c r="E31" i="18"/>
  <c r="N32" i="16" l="1"/>
  <c r="E32" i="18"/>
  <c r="M32" i="16" l="1"/>
  <c r="E33" i="18"/>
  <c r="L32" i="16" l="1"/>
  <c r="E34" i="18"/>
  <c r="K32" i="16" l="1"/>
  <c r="E35" i="18"/>
  <c r="J32" i="16" l="1"/>
  <c r="E36" i="18"/>
  <c r="I32" i="16" l="1"/>
  <c r="E37" i="18"/>
  <c r="H32" i="16" l="1"/>
  <c r="G32" i="16" s="1"/>
  <c r="E38" i="18"/>
  <c r="G35" i="16" l="1"/>
  <c r="E39" i="18"/>
  <c r="E40" i="18" l="1"/>
  <c r="G58" i="12" l="1"/>
  <c r="F58" i="12" l="1"/>
  <c r="E58" i="12" l="1"/>
  <c r="D58" i="12" l="1"/>
  <c r="C58" i="12" l="1"/>
  <c r="B58" i="12" l="1"/>
  <c r="F40" i="18" l="1"/>
  <c r="F39" i="18"/>
  <c r="F38" i="18"/>
  <c r="F37" i="18"/>
  <c r="F36" i="18"/>
  <c r="F35" i="18"/>
  <c r="F34" i="18"/>
  <c r="F33" i="18"/>
  <c r="F32" i="18"/>
  <c r="F31" i="18"/>
  <c r="F30" i="18"/>
  <c r="F29" i="18"/>
  <c r="F28" i="18"/>
  <c r="F27" i="18"/>
  <c r="F26" i="18"/>
  <c r="F25" i="18"/>
  <c r="F24" i="18"/>
  <c r="F23" i="18"/>
  <c r="F22" i="18"/>
  <c r="F21" i="18"/>
  <c r="F20" i="18"/>
  <c r="F19" i="18"/>
  <c r="F18" i="18"/>
  <c r="F17" i="18"/>
  <c r="F16" i="18"/>
  <c r="F15" i="18"/>
  <c r="F14" i="18"/>
  <c r="F12" i="18"/>
  <c r="C12" i="29" l="1"/>
  <c r="I12" i="29" s="1"/>
  <c r="G15" i="18"/>
  <c r="G23" i="18"/>
  <c r="C20" i="29"/>
  <c r="I20" i="29" s="1"/>
  <c r="C28" i="29"/>
  <c r="I28" i="29" s="1"/>
  <c r="G31" i="18"/>
  <c r="C36" i="29"/>
  <c r="I36" i="29" s="1"/>
  <c r="G39" i="18"/>
  <c r="C35" i="29"/>
  <c r="I35" i="29" s="1"/>
  <c r="G38" i="18"/>
  <c r="C13" i="29"/>
  <c r="I13" i="29" s="1"/>
  <c r="G16" i="18"/>
  <c r="G24" i="18"/>
  <c r="C21" i="29"/>
  <c r="I21" i="29" s="1"/>
  <c r="G32" i="18"/>
  <c r="C29" i="29"/>
  <c r="I29" i="29" s="1"/>
  <c r="C37" i="29"/>
  <c r="I37" i="29" s="1"/>
  <c r="G40" i="18"/>
  <c r="G14" i="18"/>
  <c r="C11" i="29"/>
  <c r="I11" i="29" s="1"/>
  <c r="C14" i="29"/>
  <c r="I14" i="29" s="1"/>
  <c r="G17" i="18"/>
  <c r="G25" i="18"/>
  <c r="C22" i="29"/>
  <c r="I22" i="29" s="1"/>
  <c r="G33" i="18"/>
  <c r="C30" i="29"/>
  <c r="I30" i="29" s="1"/>
  <c r="G30" i="18"/>
  <c r="C27" i="29"/>
  <c r="I27" i="29" s="1"/>
  <c r="G18" i="18"/>
  <c r="C15" i="29"/>
  <c r="I15" i="29" s="1"/>
  <c r="C23" i="29"/>
  <c r="I23" i="29" s="1"/>
  <c r="G26" i="18"/>
  <c r="C31" i="29"/>
  <c r="I31" i="29" s="1"/>
  <c r="G34" i="18"/>
  <c r="G19" i="18"/>
  <c r="C16" i="29"/>
  <c r="I16" i="29" s="1"/>
  <c r="G27" i="18"/>
  <c r="C24" i="29"/>
  <c r="I24" i="29" s="1"/>
  <c r="G35" i="18"/>
  <c r="C32" i="29"/>
  <c r="I32" i="29" s="1"/>
  <c r="G20" i="18"/>
  <c r="C17" i="29"/>
  <c r="I17" i="29" s="1"/>
  <c r="G28" i="18"/>
  <c r="C25" i="29"/>
  <c r="I25" i="29" s="1"/>
  <c r="G36" i="18"/>
  <c r="C33" i="29"/>
  <c r="I33" i="29" s="1"/>
  <c r="G22" i="18"/>
  <c r="C19" i="29"/>
  <c r="I19" i="29" s="1"/>
  <c r="G12" i="18"/>
  <c r="C10" i="29"/>
  <c r="I10" i="29" s="1"/>
  <c r="G21" i="18"/>
  <c r="C18" i="29"/>
  <c r="I18" i="29" s="1"/>
  <c r="C26" i="29"/>
  <c r="I26" i="29" s="1"/>
  <c r="G29" i="18"/>
  <c r="G37" i="18"/>
  <c r="C34" i="29"/>
  <c r="I34" i="29" s="1"/>
  <c r="K138" i="42" l="1"/>
  <c r="K78" i="42" l="1"/>
  <c r="K80" i="42" s="1"/>
  <c r="J138" i="42" l="1"/>
  <c r="J78" i="42" l="1"/>
  <c r="J80" i="42" s="1"/>
  <c r="K147" i="42" l="1"/>
  <c r="I138" i="42" l="1"/>
  <c r="J148" i="42" l="1"/>
  <c r="K148" i="42"/>
  <c r="H138" i="42" l="1"/>
  <c r="I78" i="42" l="1"/>
  <c r="I80" i="42" s="1"/>
  <c r="G138" i="42"/>
  <c r="H78" i="42" l="1"/>
  <c r="H80" i="42" s="1"/>
  <c r="F138" i="42"/>
  <c r="G78" i="42"/>
  <c r="G80" i="42" s="1"/>
  <c r="F78" i="42" l="1"/>
  <c r="F80" i="42" s="1"/>
  <c r="E138" i="42"/>
  <c r="J149" i="42" l="1"/>
  <c r="K149" i="42"/>
  <c r="I149" i="42"/>
  <c r="E78" i="42"/>
  <c r="E80" i="42" s="1"/>
  <c r="D138" i="42"/>
  <c r="J150" i="42" l="1"/>
  <c r="H150" i="42"/>
  <c r="K150" i="42"/>
  <c r="I150" i="42"/>
  <c r="D78" i="42"/>
  <c r="D80" i="42" s="1"/>
  <c r="C138" i="42"/>
  <c r="I151" i="42" l="1"/>
  <c r="H151" i="42"/>
  <c r="G151" i="42"/>
  <c r="K151" i="42"/>
  <c r="J151" i="42"/>
  <c r="C78" i="42"/>
  <c r="C80" i="42" s="1"/>
  <c r="J152" i="42" l="1"/>
  <c r="H152" i="42"/>
  <c r="F152" i="42"/>
  <c r="K152" i="42"/>
  <c r="I152" i="42"/>
  <c r="G152" i="42"/>
  <c r="G153" i="42" l="1"/>
  <c r="H153" i="42"/>
  <c r="K153" i="42"/>
  <c r="J153" i="42"/>
  <c r="I153" i="42"/>
  <c r="F153" i="42"/>
  <c r="E153" i="42"/>
  <c r="H154" i="42" l="1"/>
  <c r="F154" i="42"/>
  <c r="G154" i="42"/>
  <c r="J154" i="42"/>
  <c r="K154" i="42"/>
  <c r="I154" i="42"/>
  <c r="E154" i="42"/>
  <c r="D154" i="42"/>
  <c r="C155" i="42" l="1"/>
  <c r="G155" i="42"/>
  <c r="H155" i="42"/>
  <c r="D155" i="42"/>
  <c r="J155" i="42"/>
  <c r="E155" i="42"/>
  <c r="K155" i="42"/>
  <c r="I155" i="42"/>
  <c r="F155" i="42"/>
  <c r="C157" i="42" l="1"/>
  <c r="C195" i="42" s="1"/>
  <c r="K157" i="42"/>
  <c r="K195" i="42" s="1"/>
  <c r="H157" i="42"/>
  <c r="H195" i="42" s="1"/>
  <c r="D157" i="42"/>
  <c r="D195" i="42" s="1"/>
  <c r="J157" i="42"/>
  <c r="J195" i="42" s="1"/>
  <c r="I157" i="42"/>
  <c r="I195" i="42" s="1"/>
  <c r="F157" i="42"/>
  <c r="F195" i="42" s="1"/>
  <c r="G157" i="42"/>
  <c r="G195" i="42" s="1"/>
  <c r="E157" i="42"/>
  <c r="E195" i="42" s="1"/>
  <c r="C158" i="42" l="1"/>
  <c r="C196" i="42" s="1"/>
  <c r="H158" i="42"/>
  <c r="H196" i="42" s="1"/>
  <c r="E158" i="42"/>
  <c r="E196" i="42" s="1"/>
  <c r="J158" i="42"/>
  <c r="J196" i="42" s="1"/>
  <c r="F158" i="42"/>
  <c r="F196" i="42" s="1"/>
  <c r="D158" i="42"/>
  <c r="D196" i="42" s="1"/>
  <c r="I158" i="42"/>
  <c r="I196" i="42" s="1"/>
  <c r="G158" i="42"/>
  <c r="G196" i="42" s="1"/>
  <c r="K158" i="42"/>
  <c r="K196" i="42" s="1"/>
  <c r="E41" i="7" l="1"/>
  <c r="E39" i="7" l="1"/>
  <c r="E40" i="7"/>
  <c r="E38" i="7"/>
  <c r="E37" i="7" l="1"/>
  <c r="I37" i="7" s="1"/>
  <c r="E36" i="7" l="1"/>
  <c r="I36" i="7" s="1"/>
  <c r="E35" i="7" l="1"/>
  <c r="I35" i="7" s="1"/>
  <c r="E34" i="7" l="1"/>
  <c r="I34" i="7" s="1"/>
  <c r="E33" i="7" l="1"/>
  <c r="I33" i="7" s="1"/>
  <c r="E32" i="7" l="1"/>
  <c r="I32" i="7" s="1"/>
  <c r="E31" i="7" l="1"/>
  <c r="I31" i="7" s="1"/>
  <c r="E30" i="7" l="1"/>
  <c r="I30" i="7" s="1"/>
  <c r="E29" i="7" l="1"/>
  <c r="I29" i="7" s="1"/>
  <c r="E28" i="7" l="1"/>
  <c r="I28" i="7" s="1"/>
  <c r="E26" i="7" l="1"/>
  <c r="I26" i="7" s="1"/>
  <c r="E24" i="7"/>
  <c r="I24" i="7" s="1"/>
  <c r="E27" i="7"/>
  <c r="I27" i="7" s="1"/>
  <c r="E25" i="7"/>
  <c r="I25" i="7" s="1"/>
  <c r="E23" i="7" l="1"/>
  <c r="I23" i="7" s="1"/>
  <c r="E22" i="7" l="1"/>
  <c r="I22" i="7" s="1"/>
  <c r="E21" i="7" l="1"/>
  <c r="I21" i="7" s="1"/>
  <c r="E20" i="7" l="1"/>
  <c r="I20" i="7" s="1"/>
  <c r="E19" i="7" l="1"/>
  <c r="I19" i="7" s="1"/>
  <c r="E18" i="7" l="1"/>
  <c r="I18" i="7" s="1"/>
  <c r="E17" i="7" l="1"/>
  <c r="I17" i="7" s="1"/>
  <c r="E16" i="7" l="1"/>
  <c r="I16" i="7" s="1"/>
  <c r="E15" i="7" l="1"/>
  <c r="I15" i="7" s="1"/>
  <c r="E14" i="7" l="1"/>
  <c r="I14" i="7" s="1"/>
  <c r="E13" i="7" l="1"/>
  <c r="I13" i="7" s="1"/>
  <c r="E12" i="7" l="1"/>
  <c r="I12" i="7" s="1"/>
  <c r="E11" i="7" l="1"/>
  <c r="I11" i="7" s="1"/>
  <c r="E10" i="7" l="1"/>
  <c r="I10" i="7" s="1"/>
  <c r="J10" i="26" l="1"/>
  <c r="J11" i="26" l="1"/>
  <c r="F11" i="26"/>
  <c r="F12" i="26" l="1"/>
  <c r="J12" i="26"/>
  <c r="L12" i="26" s="1"/>
  <c r="L11" i="26"/>
  <c r="J13" i="26" l="1"/>
  <c r="F13" i="26"/>
  <c r="J14" i="26" l="1"/>
  <c r="L14" i="26" s="1"/>
  <c r="F14" i="26"/>
  <c r="L13" i="26"/>
  <c r="J15" i="26" l="1"/>
  <c r="F15" i="26"/>
  <c r="J16" i="26" l="1"/>
  <c r="L16" i="26" s="1"/>
  <c r="F16" i="26"/>
  <c r="L15" i="26"/>
  <c r="F17" i="26" l="1"/>
  <c r="J17" i="26"/>
  <c r="L17" i="26" s="1"/>
  <c r="F18" i="26" l="1"/>
  <c r="J18" i="26"/>
  <c r="L18" i="26" s="1"/>
  <c r="J19" i="26" l="1"/>
  <c r="L19" i="26" s="1"/>
  <c r="F19" i="26"/>
  <c r="J20" i="26" l="1"/>
  <c r="L20" i="26" s="1"/>
  <c r="F20" i="26"/>
  <c r="J22" i="26"/>
  <c r="F22" i="26"/>
  <c r="J21" i="26"/>
  <c r="L21" i="26" s="1"/>
  <c r="F21" i="26"/>
  <c r="F23" i="26" l="1"/>
  <c r="J23" i="26"/>
  <c r="L23" i="26" s="1"/>
  <c r="L22" i="26"/>
  <c r="F24" i="26" l="1"/>
  <c r="J24" i="26"/>
  <c r="L24" i="26" s="1"/>
  <c r="F25" i="26" l="1"/>
  <c r="J25" i="26"/>
  <c r="J26" i="26" l="1"/>
  <c r="L26" i="26" s="1"/>
  <c r="F26" i="26"/>
  <c r="L25" i="26"/>
  <c r="J27" i="26" l="1"/>
  <c r="F27" i="26"/>
  <c r="J28" i="26" l="1"/>
  <c r="L28" i="26" s="1"/>
  <c r="F28" i="26"/>
  <c r="L27" i="26"/>
  <c r="J29" i="26" l="1"/>
  <c r="F29" i="26"/>
  <c r="J30" i="26" l="1"/>
  <c r="L30" i="26" s="1"/>
  <c r="F30" i="26"/>
  <c r="L29" i="26"/>
  <c r="J31" i="26" l="1"/>
  <c r="F31" i="26"/>
  <c r="F32" i="26" l="1"/>
  <c r="J32" i="26"/>
  <c r="L32" i="26" s="1"/>
  <c r="L31" i="26"/>
  <c r="F33" i="26" l="1"/>
  <c r="J33" i="26"/>
  <c r="F34" i="26" l="1"/>
  <c r="J34" i="26"/>
  <c r="L34" i="26" s="1"/>
  <c r="L33" i="26"/>
  <c r="J10" i="27" l="1"/>
  <c r="J11" i="27" l="1"/>
  <c r="L11" i="27" s="1"/>
  <c r="F11" i="27"/>
  <c r="J12" i="27" l="1"/>
  <c r="L12" i="27" s="1"/>
  <c r="F12" i="27"/>
  <c r="J13" i="27" l="1"/>
  <c r="L13" i="27" s="1"/>
  <c r="F13" i="27"/>
  <c r="F14" i="27"/>
  <c r="J14" i="27"/>
  <c r="L14" i="27" l="1"/>
  <c r="F15" i="27"/>
  <c r="J15" i="27"/>
  <c r="L15" i="27" s="1"/>
  <c r="F16" i="27" l="1"/>
  <c r="J16" i="27"/>
  <c r="L16" i="27" s="1"/>
  <c r="F17" i="27" l="1"/>
  <c r="J17" i="27"/>
  <c r="L17" i="27" s="1"/>
  <c r="F18" i="27" l="1"/>
  <c r="J18" i="27"/>
  <c r="L18" i="27" s="1"/>
  <c r="F19" i="27" l="1"/>
  <c r="J19" i="27"/>
  <c r="L19" i="27" s="1"/>
  <c r="J20" i="27" l="1"/>
  <c r="L20" i="27" s="1"/>
  <c r="F20" i="27"/>
  <c r="J21" i="27" l="1"/>
  <c r="L21" i="27" s="1"/>
  <c r="F21" i="27"/>
  <c r="F22" i="27" l="1"/>
  <c r="J22" i="27"/>
  <c r="L22" i="27" s="1"/>
  <c r="F23" i="27" l="1"/>
  <c r="J23" i="27"/>
  <c r="L23" i="27" s="1"/>
  <c r="F24" i="27" l="1"/>
  <c r="J24" i="27"/>
  <c r="L24" i="27" s="1"/>
  <c r="F13" i="28" l="1"/>
  <c r="J25" i="27"/>
  <c r="L25" i="27" s="1"/>
  <c r="F25" i="27"/>
  <c r="F26" i="27" l="1"/>
  <c r="J26" i="27"/>
  <c r="L26" i="27" s="1"/>
  <c r="F27" i="27" l="1"/>
  <c r="J27" i="27"/>
  <c r="L27" i="27" s="1"/>
  <c r="F14" i="28"/>
  <c r="D14" i="28"/>
  <c r="J28" i="27" l="1"/>
  <c r="L28" i="27" s="1"/>
  <c r="F28" i="27"/>
  <c r="H14" i="28"/>
  <c r="F15" i="28"/>
  <c r="H15" i="28" s="1"/>
  <c r="D15" i="28"/>
  <c r="F16" i="28" l="1"/>
  <c r="D16" i="28"/>
  <c r="F29" i="27"/>
  <c r="J29" i="27"/>
  <c r="L29" i="27" s="1"/>
  <c r="D17" i="28" l="1"/>
  <c r="F17" i="28"/>
  <c r="H17" i="28" s="1"/>
  <c r="H16" i="28"/>
  <c r="F30" i="27"/>
  <c r="J30" i="27"/>
  <c r="L30" i="27" s="1"/>
  <c r="J31" i="27" l="1"/>
  <c r="D18" i="28"/>
  <c r="F18" i="28"/>
  <c r="H18" i="28" s="1"/>
  <c r="D20" i="28" l="1"/>
  <c r="F20" i="28"/>
  <c r="N19" i="28"/>
  <c r="D19" i="28"/>
  <c r="F19" i="28"/>
  <c r="H19" i="28" s="1"/>
  <c r="H20" i="28" l="1"/>
  <c r="F21" i="28"/>
  <c r="H21" i="28" s="1"/>
  <c r="D21" i="28"/>
  <c r="J32" i="27"/>
  <c r="L32" i="27" s="1"/>
  <c r="F32" i="27"/>
  <c r="N20" i="28"/>
  <c r="P20" i="28" s="1"/>
  <c r="L20" i="28"/>
  <c r="J33" i="27" l="1"/>
  <c r="L33" i="27" s="1"/>
  <c r="F33" i="27"/>
  <c r="L21" i="28"/>
  <c r="N21" i="28"/>
  <c r="D22" i="28"/>
  <c r="F22" i="28"/>
  <c r="H22" i="28" s="1"/>
  <c r="N18" i="28"/>
  <c r="P19" i="28" s="1"/>
  <c r="L19" i="28"/>
  <c r="J34" i="27" l="1"/>
  <c r="L34" i="27" s="1"/>
  <c r="F34" i="27"/>
  <c r="P21" i="28"/>
  <c r="N22" i="28"/>
  <c r="P22" i="28" s="1"/>
  <c r="L22" i="28"/>
  <c r="L18" i="28"/>
  <c r="N17" i="28"/>
  <c r="L17" i="28"/>
  <c r="P18" i="28" l="1"/>
  <c r="N16" i="28"/>
  <c r="P17" i="28" s="1"/>
  <c r="N15" i="28"/>
  <c r="L16" i="28" l="1"/>
  <c r="P16" i="28"/>
  <c r="L15" i="28" l="1"/>
  <c r="N14" i="28"/>
  <c r="N13" i="28"/>
  <c r="L14" i="28" l="1"/>
  <c r="P14" i="28"/>
  <c r="P15" i="28"/>
  <c r="B32" i="13" l="1"/>
  <c r="C32" i="13" l="1"/>
  <c r="D32" i="13" l="1"/>
  <c r="D40" i="3" s="1"/>
  <c r="E32" i="13" l="1"/>
  <c r="D39" i="3" s="1"/>
  <c r="F32" i="13" l="1"/>
  <c r="D38" i="3" s="1"/>
  <c r="F33" i="13"/>
  <c r="E33" i="13" l="1"/>
  <c r="E38" i="3"/>
  <c r="F38" i="3" l="1"/>
  <c r="D33" i="13"/>
  <c r="E41" i="3" s="1"/>
  <c r="F41" i="3" s="1"/>
  <c r="E39" i="3"/>
  <c r="C38" i="7" l="1"/>
  <c r="F39" i="3"/>
  <c r="C33" i="13"/>
  <c r="E42" i="3" s="1"/>
  <c r="F42" i="3" s="1"/>
  <c r="C42" i="7" s="1"/>
  <c r="I42" i="7" s="1"/>
  <c r="I46" i="7" s="1"/>
  <c r="E40" i="3"/>
  <c r="F40" i="3" l="1"/>
  <c r="B33" i="13"/>
  <c r="E43" i="3" s="1"/>
  <c r="F43" i="3" s="1"/>
  <c r="C43" i="7" s="1"/>
  <c r="I43" i="7" s="1"/>
  <c r="C39" i="7"/>
  <c r="F35" i="26"/>
  <c r="J35" i="26"/>
  <c r="I38" i="7"/>
  <c r="L35" i="26" l="1"/>
  <c r="C40" i="7"/>
  <c r="F36" i="26"/>
  <c r="J36" i="26"/>
  <c r="L36" i="26" s="1"/>
  <c r="I39" i="7"/>
  <c r="I40" i="7" l="1"/>
  <c r="F37" i="26"/>
  <c r="C41" i="7"/>
  <c r="I41" i="7" l="1"/>
  <c r="I47" i="7" s="1"/>
  <c r="I48" i="7" s="1"/>
  <c r="L42" i="26" l="1"/>
  <c r="B47" i="16" l="1"/>
  <c r="K9" i="8"/>
  <c r="B29" i="16" l="1"/>
  <c r="D45" i="18" s="1"/>
  <c r="C47" i="16"/>
  <c r="C29" i="16" l="1"/>
  <c r="D44" i="18" s="1"/>
  <c r="D47" i="16"/>
  <c r="D29" i="16" s="1"/>
  <c r="F47" i="16" l="1"/>
  <c r="F29" i="16" s="1"/>
  <c r="E47" i="16"/>
  <c r="E29" i="16" s="1"/>
  <c r="D42" i="18" l="1"/>
  <c r="F32" i="16"/>
  <c r="D43" i="18"/>
  <c r="D41" i="18"/>
  <c r="E32" i="16" l="1"/>
  <c r="F35" i="16"/>
  <c r="E41" i="18"/>
  <c r="D32" i="16" l="1"/>
  <c r="E35" i="16"/>
  <c r="E42" i="18" s="1"/>
  <c r="F41" i="18"/>
  <c r="C32" i="16" l="1"/>
  <c r="D35" i="16"/>
  <c r="F42" i="18"/>
  <c r="G41" i="18"/>
  <c r="C38" i="29"/>
  <c r="E43" i="18"/>
  <c r="B32" i="16" l="1"/>
  <c r="B35" i="16" s="1"/>
  <c r="C35" i="16"/>
  <c r="F43" i="18"/>
  <c r="C39" i="29"/>
  <c r="G42" i="18"/>
  <c r="F23" i="28"/>
  <c r="D23" i="28"/>
  <c r="E44" i="18"/>
  <c r="I38" i="29"/>
  <c r="H23" i="28" l="1"/>
  <c r="D24" i="28"/>
  <c r="F24" i="28"/>
  <c r="H24" i="28" s="1"/>
  <c r="F44" i="18"/>
  <c r="C42" i="29" s="1"/>
  <c r="I42" i="29" s="1"/>
  <c r="I46" i="29" s="1"/>
  <c r="E45" i="18"/>
  <c r="N23" i="28"/>
  <c r="L23" i="28"/>
  <c r="I39" i="29"/>
  <c r="C40" i="29"/>
  <c r="G43" i="18"/>
  <c r="F35" i="27"/>
  <c r="J35" i="27"/>
  <c r="L35" i="27" s="1"/>
  <c r="N24" i="28" l="1"/>
  <c r="P24" i="28" s="1"/>
  <c r="L24" i="28"/>
  <c r="P23" i="28"/>
  <c r="I40" i="29"/>
  <c r="F45" i="18"/>
  <c r="C43" i="29" s="1"/>
  <c r="I43" i="29" s="1"/>
  <c r="C41" i="29"/>
  <c r="G44" i="18"/>
  <c r="D25" i="28"/>
  <c r="F25" i="28"/>
  <c r="F36" i="27"/>
  <c r="J36" i="27"/>
  <c r="L36" i="27" s="1"/>
  <c r="I41" i="29" l="1"/>
  <c r="G45" i="18"/>
  <c r="N25" i="28"/>
  <c r="L25" i="28"/>
  <c r="L37" i="27"/>
  <c r="F26" i="28"/>
  <c r="H26" i="28" s="1"/>
  <c r="D26" i="28"/>
  <c r="H25" i="28"/>
  <c r="P25" i="28" l="1"/>
  <c r="I47" i="29"/>
  <c r="I48" i="29" s="1"/>
  <c r="L26" i="28"/>
  <c r="N26" i="28"/>
  <c r="P26" i="28" s="1"/>
  <c r="M9" i="8" l="1"/>
  <c r="O9" i="8" l="1"/>
  <c r="O14" i="8" s="1"/>
  <c r="O22" i="8" l="1"/>
  <c r="O26" i="8" l="1"/>
  <c r="O30" i="8" s="1"/>
</calcChain>
</file>

<file path=xl/sharedStrings.xml><?xml version="1.0" encoding="utf-8"?>
<sst xmlns="http://schemas.openxmlformats.org/spreadsheetml/2006/main" count="3397" uniqueCount="570">
  <si>
    <t>California Workers' Compensation</t>
  </si>
  <si>
    <t>Earned</t>
  </si>
  <si>
    <t xml:space="preserve">Paid </t>
  </si>
  <si>
    <t>Indemnity</t>
  </si>
  <si>
    <t xml:space="preserve">  Paid   </t>
  </si>
  <si>
    <t>Medical</t>
  </si>
  <si>
    <t xml:space="preserve">Total  </t>
  </si>
  <si>
    <t xml:space="preserve">Loss  </t>
  </si>
  <si>
    <t>Year</t>
  </si>
  <si>
    <t>Premium</t>
  </si>
  <si>
    <t>Reserves</t>
  </si>
  <si>
    <t>Ratio*</t>
  </si>
  <si>
    <t>*</t>
  </si>
  <si>
    <t>**</t>
  </si>
  <si>
    <t>Paid medical for accident years 2011 and subsequent exclude the paid cost of medical cost containment programs (MCCP).  Paid medical for accident years 2010 and prior include paid MCCP costs.</t>
  </si>
  <si>
    <t>IBNR*</t>
  </si>
  <si>
    <t>Incurred**</t>
  </si>
  <si>
    <t>Incurred Indemnity Loss Development Factors</t>
  </si>
  <si>
    <t>Age-to-Age (in months)</t>
  </si>
  <si>
    <t>Accident Year</t>
  </si>
  <si>
    <t>Selected (a)</t>
  </si>
  <si>
    <t>Cumulative</t>
  </si>
  <si>
    <t>(a)</t>
  </si>
  <si>
    <t>Incurred Indemnity Loss Development Factors (Continued)</t>
  </si>
  <si>
    <t xml:space="preserve">Cumulative </t>
  </si>
  <si>
    <t xml:space="preserve">(b)  </t>
  </si>
  <si>
    <t xml:space="preserve">(c)  </t>
  </si>
  <si>
    <t>Incurred Medical Loss Development Factors</t>
  </si>
  <si>
    <t>(b)</t>
  </si>
  <si>
    <t>Incurred Medical Loss Development Factors (Continued)</t>
  </si>
  <si>
    <t xml:space="preserve">(d)  </t>
  </si>
  <si>
    <t>Paid Indemnity Loss Development Factors</t>
  </si>
  <si>
    <t>---</t>
  </si>
  <si>
    <t>Paid Indemnity Loss Development Factors (Continued)</t>
  </si>
  <si>
    <t/>
  </si>
  <si>
    <t>Paid Medical Loss Development Factors</t>
  </si>
  <si>
    <t>Selected (c)</t>
  </si>
  <si>
    <t xml:space="preserve">(a)  </t>
  </si>
  <si>
    <t>(c)</t>
  </si>
  <si>
    <t xml:space="preserve">(e)  </t>
  </si>
  <si>
    <t>Paid Medical Loss Development Factors (Continued)</t>
  </si>
  <si>
    <t>(e)</t>
  </si>
  <si>
    <t xml:space="preserve">(f)  </t>
  </si>
  <si>
    <t>Developed Indemnity Loss Ratios Using Selected Loss Development Factors</t>
  </si>
  <si>
    <t>Development Factors</t>
  </si>
  <si>
    <t>(1)</t>
  </si>
  <si>
    <t>(2)</t>
  </si>
  <si>
    <t>(3)</t>
  </si>
  <si>
    <t>(4)</t>
  </si>
  <si>
    <t>Developed Medical Loss Ratios Using Selected Loss Development Factors</t>
  </si>
  <si>
    <t>(5)</t>
  </si>
  <si>
    <t>(6)</t>
  </si>
  <si>
    <t>Adjusted</t>
  </si>
  <si>
    <t>Projected</t>
  </si>
  <si>
    <t>Accident</t>
  </si>
  <si>
    <t>Ultimate</t>
  </si>
  <si>
    <t>Loss Ratio</t>
  </si>
  <si>
    <t>(d)</t>
  </si>
  <si>
    <t>Unadjusted (a)</t>
  </si>
  <si>
    <t>Adjusted (b)</t>
  </si>
  <si>
    <t>Indemnity Benefit Level Factors</t>
  </si>
  <si>
    <t>Annual Benefit</t>
  </si>
  <si>
    <t xml:space="preserve">Annual Impact   </t>
  </si>
  <si>
    <t>Annual</t>
  </si>
  <si>
    <t>Composite</t>
  </si>
  <si>
    <t>Change Prior to</t>
  </si>
  <si>
    <t>on Indemnity Benefits</t>
  </si>
  <si>
    <t>Cost</t>
  </si>
  <si>
    <t>Frequency</t>
  </si>
  <si>
    <t>Due to Wage</t>
  </si>
  <si>
    <t>Impact on</t>
  </si>
  <si>
    <t xml:space="preserve">Adjustment  </t>
  </si>
  <si>
    <t>Adjustments (a)</t>
  </si>
  <si>
    <t>Inflation (b)</t>
  </si>
  <si>
    <t>Indemnity (c)</t>
  </si>
  <si>
    <t>Factor (d)</t>
  </si>
  <si>
    <t>(f)</t>
  </si>
  <si>
    <t>{ [Column (1) /100 + 1.0] x [Column (2) /100 + 1.0] x [Column (3) /100 + 1.0 ] - 1.0 } x 100.</t>
  </si>
  <si>
    <t>On-level factors for accident years 2002, 2003 and 2004 adjust the portion of permanent disability claims that are estimated to not be subject to the January 1, 2005 PDRS (95% for accident year 2002, 75% for accident year 2003 and 40% for accident year 2004) to the January 1, 2005 PDRS level, and adjust for the corresponding utilization impacts on all 2002, 2003 and 2004 indemnity claims.</t>
  </si>
  <si>
    <t>Annual Medical Cost Level Change - Non-Legislative</t>
  </si>
  <si>
    <t>Proportion of</t>
  </si>
  <si>
    <t>Impact of</t>
  </si>
  <si>
    <t>Factor to a</t>
  </si>
  <si>
    <t>Factor to Adjust</t>
  </si>
  <si>
    <t>Medical Not</t>
  </si>
  <si>
    <t>Fee Schedule</t>
  </si>
  <si>
    <t>Change in</t>
  </si>
  <si>
    <t>CPI Change</t>
  </si>
  <si>
    <t>Non-Legislative</t>
  </si>
  <si>
    <t>Subject to</t>
  </si>
  <si>
    <t>Change on</t>
  </si>
  <si>
    <t>on Total</t>
  </si>
  <si>
    <t>Cost Impact on</t>
  </si>
  <si>
    <t>Fee Schedule (a)</t>
  </si>
  <si>
    <t>Total Medical (b)</t>
  </si>
  <si>
    <t>CPI (c)</t>
  </si>
  <si>
    <t>Medical (d)</t>
  </si>
  <si>
    <t>Total Medical (e)</t>
  </si>
  <si>
    <t>(i)</t>
  </si>
  <si>
    <t>(ii)</t>
  </si>
  <si>
    <t>(iii)</t>
  </si>
  <si>
    <t>(iv),(v)</t>
  </si>
  <si>
    <t>(v)</t>
  </si>
  <si>
    <t>Based on a component of the Consumer Price Index. Projections furnished by the California Department of Finance.</t>
  </si>
  <si>
    <t>Adjusted CPI on workers' compensation medical costs that are not subject to fee schedules.  The current year impact is the weighted average of 0% and Column (4), with Columns (1) and (2) from prior years as weights.  (i) 1993's non-fee proportion is reduced by 13.8% due to the new medical-legal fee schedule enacted in 1994.  (ii) 1998's non-fee proportion is reduced by 7.7% due to the Inpatient Hospital Fee Schedule (IHFS) effective 4/1/1999.  (iii) 2002's non-fee proportion is reduced by 7.6% due to the new pharmaceutical fee schedule effective 1/1/2003.  (iv) 2003's non-fee proportion is reduced by 17.2% due to the outpatient fee schedule effective 1/1/2004.  (v) Given the anticipated impact of legislative reform, a 0% inflation rate has been assumed for 2004 and 2005.</t>
  </si>
  <si>
    <t>Column (6) = Column (3) + Column (5).</t>
  </si>
  <si>
    <t>Annual Medical Cost Level Change - Legislative</t>
  </si>
  <si>
    <t>Annual Legislative</t>
  </si>
  <si>
    <t>Annual Legislative Cost Impact</t>
  </si>
  <si>
    <t>Annual Total</t>
  </si>
  <si>
    <t xml:space="preserve">Cost Impact on </t>
  </si>
  <si>
    <t>on Medical Due to</t>
  </si>
  <si>
    <t>Legislative Cost</t>
  </si>
  <si>
    <t>This reflects the annual percentage impact on medical costs due to changes in the frequency of indemnity claims as a result of benefit changes.</t>
  </si>
  <si>
    <t xml:space="preserve">[Column (1) + 1.0] x [Column (2) + 1.0] - 1.0 </t>
  </si>
  <si>
    <t>Total Medical Cost Level Factors</t>
  </si>
  <si>
    <t>Total</t>
  </si>
  <si>
    <t>Legislative</t>
  </si>
  <si>
    <t>Annual Cost</t>
  </si>
  <si>
    <t>On-level</t>
  </si>
  <si>
    <t>Medical (a)</t>
  </si>
  <si>
    <t>See Exhibit 4.2, Column (6).</t>
  </si>
  <si>
    <t>See Exhibit 4.3, Column (3).</t>
  </si>
  <si>
    <t>Column (3) = [1.0 + Column (1) ] x [1.0 + Column (2)] - 1.0.</t>
  </si>
  <si>
    <t xml:space="preserve"> (d)</t>
  </si>
  <si>
    <t xml:space="preserve">Annual Wage Level Changes   </t>
  </si>
  <si>
    <t>Annual Wage</t>
  </si>
  <si>
    <t>Premium Adjustment Factors</t>
  </si>
  <si>
    <t>(2a)</t>
  </si>
  <si>
    <t>(2b)</t>
  </si>
  <si>
    <t>(2c)</t>
  </si>
  <si>
    <t>(7)</t>
  </si>
  <si>
    <t>Ratio of</t>
  </si>
  <si>
    <t>Factor to</t>
  </si>
  <si>
    <t>Insurer Premium</t>
  </si>
  <si>
    <t>Off-Balance</t>
  </si>
  <si>
    <t>Industry Average</t>
  </si>
  <si>
    <t>Industry</t>
  </si>
  <si>
    <t>to an Industry</t>
  </si>
  <si>
    <t>Correction in</t>
  </si>
  <si>
    <t>Charged Rates</t>
  </si>
  <si>
    <t>Average Filed</t>
  </si>
  <si>
    <t>Adjustment</t>
  </si>
  <si>
    <t>Advisory</t>
  </si>
  <si>
    <t>for Impact</t>
  </si>
  <si>
    <t>to Advisory</t>
  </si>
  <si>
    <t>Pure Premium</t>
  </si>
  <si>
    <t xml:space="preserve">Pure Premium </t>
  </si>
  <si>
    <t>to Remove</t>
  </si>
  <si>
    <t>Average</t>
  </si>
  <si>
    <t>of Premium</t>
  </si>
  <si>
    <t>Calendar</t>
  </si>
  <si>
    <t>Rate Level as of</t>
  </si>
  <si>
    <t>Surcharge</t>
  </si>
  <si>
    <t>Experience</t>
  </si>
  <si>
    <t>Resulting from</t>
  </si>
  <si>
    <t>Wage Level (a)</t>
  </si>
  <si>
    <t>Rates (b)</t>
  </si>
  <si>
    <t>Premium (e)</t>
  </si>
  <si>
    <t>Modification (f)</t>
  </si>
  <si>
    <t>Rates</t>
  </si>
  <si>
    <t>Audits (g)</t>
  </si>
  <si>
    <t>Factor (h)</t>
  </si>
  <si>
    <t>See Exhibit 5.1.</t>
  </si>
  <si>
    <t>Based on WCIRB calendar year experience calls.  The industry average charged rates reflect most rating plan adjustments but do not reflect</t>
  </si>
  <si>
    <t>the application of deductible credits or retrospective rating plan adjustments.</t>
  </si>
  <si>
    <t>(2b) ÷ (2a).  This column adjusts premiums at the industry average charged rate level to the industry average filed pure premium</t>
  </si>
  <si>
    <t>Based on unit statistical data.</t>
  </si>
  <si>
    <t xml:space="preserve">Based on average promulgated experience modifications.  Calendar years 1996 through 2000 include adjustments for the impacts of </t>
  </si>
  <si>
    <t>AB 1913 and SB 1217 (1998).</t>
  </si>
  <si>
    <t>(g)</t>
  </si>
  <si>
    <t>Based on a comparison of premium reported on a calendar year basis to premium reported on an estimated ultimate policy year basis over</t>
  </si>
  <si>
    <t xml:space="preserve">the course of two accident years.  The factor is applied only for calendar years 2007 to 2010, during which reported premiums were impacted by </t>
  </si>
  <si>
    <t>recessionary economic forces.</t>
  </si>
  <si>
    <t>(h)</t>
  </si>
  <si>
    <t>(1)x(2c)x(3)x(6) ÷ [(4)x(5)] for calendar years 2007 to 2010.  (1)x(2c)x(3) ÷ [(4)x(5)] for all other calendar years.</t>
  </si>
  <si>
    <t>Annual %</t>
  </si>
  <si>
    <t>Annual Log Differences</t>
  </si>
  <si>
    <t>Changes Intra-</t>
  </si>
  <si>
    <t>Intra-Class Indemnity Frequency</t>
  </si>
  <si>
    <t>AY+1</t>
  </si>
  <si>
    <t>Economic</t>
  </si>
  <si>
    <t>CalOSHA</t>
  </si>
  <si>
    <t>Class Ind Freq</t>
  </si>
  <si>
    <t>Variables</t>
  </si>
  <si>
    <t>Dummy</t>
  </si>
  <si>
    <t>AY</t>
  </si>
  <si>
    <t>Non-cum.</t>
  </si>
  <si>
    <t>Benefit Level</t>
  </si>
  <si>
    <t>Injury Index</t>
  </si>
  <si>
    <t>(1st Prin. Comp.)</t>
  </si>
  <si>
    <t>Variable</t>
  </si>
  <si>
    <t>Y = Hazardousness-Adjusted Noncumulative Indemnity Claim Frequency</t>
  </si>
  <si>
    <t>Constant</t>
  </si>
  <si>
    <t>Std Err of Y Est</t>
  </si>
  <si>
    <t>R Squared</t>
  </si>
  <si>
    <t>No. of Observations</t>
  </si>
  <si>
    <t>Degrees of Freedom</t>
  </si>
  <si>
    <t>X Coefficient(s)</t>
  </si>
  <si>
    <t>Std Err of Coef.</t>
  </si>
  <si>
    <t>Notes:</t>
  </si>
  <si>
    <t>Projection of Indemnity Severity Trends by Accident Year</t>
  </si>
  <si>
    <t>Estimated</t>
  </si>
  <si>
    <t xml:space="preserve">Accident </t>
  </si>
  <si>
    <t>Severity</t>
  </si>
  <si>
    <t>% Change</t>
  </si>
  <si>
    <t>(1) x (3)</t>
  </si>
  <si>
    <t>Factor (a)</t>
  </si>
  <si>
    <t>Projection of Medical Severity Trends by Accident Year</t>
  </si>
  <si>
    <t xml:space="preserve">    (c) Severities for accident years 2011 and subsequent do not reflect the cost of medical cost 
         containment programs (MCCP). Severities for accident years 2010 and prior do reflect 
         MCCP costs.</t>
  </si>
  <si>
    <t>Severity (a)</t>
  </si>
  <si>
    <t>Factor (b)</t>
  </si>
  <si>
    <t>Adjusted to Remove the Cost of Medical Cost Containment Programs (MCCP)</t>
  </si>
  <si>
    <t>MCCP Removed Based on</t>
  </si>
  <si>
    <t>WCIRB Aggregate</t>
  </si>
  <si>
    <t>MCCP Included</t>
  </si>
  <si>
    <t>Calendar Year Data Calls (b)</t>
  </si>
  <si>
    <t>(8)</t>
  </si>
  <si>
    <t>(9)</t>
  </si>
  <si>
    <t>On-Level</t>
  </si>
  <si>
    <t>Severity (c)</t>
  </si>
  <si>
    <t>Selected Medical Severity Trend:</t>
  </si>
  <si>
    <t>Projected On-Level Accident Year</t>
  </si>
  <si>
    <t>Indemnity Loss to Industry Average Filed Pure Premium Ratios</t>
  </si>
  <si>
    <t>On-Level Indemnity to</t>
  </si>
  <si>
    <t>Developed Indemnity</t>
  </si>
  <si>
    <t>Composite Indemnity</t>
  </si>
  <si>
    <t>Composite Premium</t>
  </si>
  <si>
    <t>Industry Average Filed</t>
  </si>
  <si>
    <t>Pure Premium Ratio</t>
  </si>
  <si>
    <t>(1)×(2)÷(3)</t>
  </si>
  <si>
    <t>Projections (d)</t>
  </si>
  <si>
    <t>See Exhibit 3.1.</t>
  </si>
  <si>
    <t>See Exhibit 4.1.</t>
  </si>
  <si>
    <t>See Exhibit 5.2.</t>
  </si>
  <si>
    <t>Medical Loss to Industry Average Filed Pure Premium Ratios</t>
  </si>
  <si>
    <t>On-Level Medical to</t>
  </si>
  <si>
    <t>Developed Medical</t>
  </si>
  <si>
    <t>Composite Medical</t>
  </si>
  <si>
    <t>See Exhibit 3.2. Medical loss ratios for accident years 2011 and subsequent do not reflect the cost of medical cost containment programs (MCCP). Ratios for accident years 2010 and prior do reflect MCCP costs.</t>
  </si>
  <si>
    <t>See Exhibit 4.4.</t>
  </si>
  <si>
    <t>1.</t>
  </si>
  <si>
    <t>Projected Loss to Industry Average Filed Pure Premium Ratio
(See Exhibits 7.1 and 7.3)</t>
  </si>
  <si>
    <t>Projected Loss Adjustment Expense Factor</t>
  </si>
  <si>
    <t>4.</t>
  </si>
  <si>
    <t>6.</t>
  </si>
  <si>
    <t>Cumulative Unadjusted</t>
  </si>
  <si>
    <t>Indemnity Benefit Level variable is leading. The benefit level change for AY 2004 is related to the AY 2003 change in non-cumulative frequency.</t>
  </si>
  <si>
    <t>The Indemnity Benefit Level change for Ogilvie &amp; Almaraz / Guzman in 2009-2010 is not leading.</t>
  </si>
  <si>
    <t>The Indemnity Benefit Level variable excludes indemnity benefit utilization, and changes in the death and permanent total benefits.</t>
  </si>
  <si>
    <t>The Indemnity Benefit Level variable has been revised due to on-leveling reassessments.  See Actuarial Committee item AC09-03-03.</t>
  </si>
  <si>
    <t>For 1993 on, cumulative claims include both cumulative trauma and occupational disease claims. See March 19, 2014 Actuarial Committee Agenda Item III.</t>
  </si>
  <si>
    <t>The constant term, -0.020, consists of measured offsets that recognize annual changes in real benefit levels relative to nominal</t>
  </si>
  <si>
    <t>benefit levels and long-term economic growth. Without these offsets, the indemnity benefit level and economic variables would project</t>
  </si>
  <si>
    <t>frequency to increase without bound.</t>
  </si>
  <si>
    <t>Factor</t>
  </si>
  <si>
    <t>Adj</t>
  </si>
  <si>
    <t>Estimated Annual Exponential Trend</t>
  </si>
  <si>
    <t>Frequency Adj (Exh 6.1)</t>
  </si>
  <si>
    <t>Projection Assumptions</t>
  </si>
  <si>
    <t>Severity Trend (Exh 6.4)</t>
  </si>
  <si>
    <t>With Separate Adjustments on Open and Closed Claims</t>
  </si>
  <si>
    <t>for Changes in Claim Settlement Rates</t>
  </si>
  <si>
    <t>A. Total Reported Indemnity Claim Counts</t>
  </si>
  <si>
    <t xml:space="preserve">B. Development of Total Reported Indemnity Claim Counts </t>
  </si>
  <si>
    <t>Latest Year</t>
  </si>
  <si>
    <t>Acc. Year</t>
  </si>
  <si>
    <t>Ult. Claim Counts</t>
  </si>
  <si>
    <t>C. Closed Indemnity Claim Counts</t>
  </si>
  <si>
    <t>F. Average Paid Indemnity per Closed Claim</t>
  </si>
  <si>
    <t>Ratio of closed indemnity claim counts (Item C) to the estimated ultimate indemnity claim counts (Item B) for that accident year.</t>
  </si>
  <si>
    <t>The claim counts for the latest evaluation of each accident year are equal to the reported number of closed indemnity claims.  All prior evaluations shown are the product of the latest ultimate indemnity claim settlement ratio (Item D) and the ultimate indemnity claim counts (Item B) for that accident year.</t>
  </si>
  <si>
    <t>I. Paid Indemnity on Open Claims (in $000)</t>
  </si>
  <si>
    <t>Adjusted based on ultimate indemnity claim settlement ratios (Item D) and assuming a log-linear relationship between maturities.</t>
  </si>
  <si>
    <t>Each amount is the product of the adjusted closed indemnity claim counts (Item E) and the adjusted average paid indemnity per closed claim (Item G), and divided by $1,000.</t>
  </si>
  <si>
    <t xml:space="preserve">K. Changes in Paid Indemnity on Open Claims Resulting from the Impact of Changes in </t>
  </si>
  <si>
    <t>Each amount is equal to the product of [the average monthly indemnity payment per open indemnity claim] and [the number of months for the current evaluation].  For evaluations indicating claim settlement rate decreases, the average monthly indemnity payment per open indemnity claim at the prior evaluation is used.  For evaluations indicating claim settlement rate increases, the average monthly indemnity payment per open indemnity claim at the same evaluation is used.</t>
  </si>
  <si>
    <t>Each amount is equal to [the difference between unadjusted and adjusted closed indemnity claim counts (Items C and E)] multiplied by the corresponding [average paid indemnity per open claim for indemnity claims in transition (Item J)].</t>
  </si>
  <si>
    <t>Each amount is the sum of [paid indemnity on open claims (Item I)] and the corresponding [incremental changes in paid indemnity on open claims resulting from the impact of changes in claim settlement rates (Item K)].</t>
  </si>
  <si>
    <t>N. Paid Indemnity Loss Development Factors Based on Adjusted Total Paid Indemnity</t>
  </si>
  <si>
    <t>3-Year Average</t>
  </si>
  <si>
    <t>Each amount is the sum of the adjusted paid indemnity on closed claims (Item H) and the adjusted paid indemnity on open claims (Item L).</t>
  </si>
  <si>
    <t xml:space="preserve">Development factors are based on paid indemnity losses from the same insurer mix as that used in the adjustment for changes in claim settlement rates and applied in the calculation of the development factors in Item N.  </t>
  </si>
  <si>
    <t>(j)</t>
  </si>
  <si>
    <t>Each factor represents the change in age-to-age development factors from Item O to those in Item N.</t>
  </si>
  <si>
    <t>(k)</t>
  </si>
  <si>
    <t>Source:  Accident year experience of insurers with available claim count data</t>
  </si>
  <si>
    <t>F. Average Paid Medical per Closed Indemnity Claim</t>
  </si>
  <si>
    <t>I. Paid Medical on Open Indemnity Claims (in $000)</t>
  </si>
  <si>
    <t>Each amount is equal to the product of [adjusted closed indemnity claim counts (Item E)] and [adjusted average paid medical per closed indemnity claim (Item G)], and divided by $1,000.</t>
  </si>
  <si>
    <t xml:space="preserve">K. Changes in Paid Medical on Open Indemnity Claims Resulting from the Impact of Changes in </t>
  </si>
  <si>
    <t>Each amount is equal to the product of [the average monthly medical payment per open indemnity claim] and [the number of months for the current evaluation].  For evaluations indicating claim settlement rate decreases, the average monthly medical payment per open indemnity claim at the prior evaluation is used.  For evaluations indicating claim settlement rate increases, the average monthly medical payment per open indemnity claim at the same evaluation is used.</t>
  </si>
  <si>
    <t>Each amount is equal to [the difference between unadjusted and adjusted closed indemnity claim counts (Items C and E)] multiplied by [the corresponding average paid medical per open indemnity claim for indemnity claims in transition (Item J)].</t>
  </si>
  <si>
    <t>Each amount is the sum of [paid medical on open indemnity claims (Item I)] and the corresponding [incremental changes in paid medical on open indemnity claims resulting from the impact of changes in indemnity claim settlement rates (Item K)].</t>
  </si>
  <si>
    <t>M. Paid Medical on Medical-Only Claims (in $000)</t>
  </si>
  <si>
    <t>O. Paid Medical Loss Development Factors Based on Adjusted Total Paid Medical</t>
  </si>
  <si>
    <t>Development factors are based on paid medical losses from the same insurer mix as that used in the adjustment for changes in claim settlement rates and applied in the calculation of the development factors in Item O.</t>
  </si>
  <si>
    <t>Each factor represents the change in age-to-age development factors from Item P to those in Item O.</t>
  </si>
  <si>
    <t>7.</t>
  </si>
  <si>
    <t>Severity Trend (Exh 6.2)</t>
  </si>
  <si>
    <t>Shown for informational purposes only.</t>
  </si>
  <si>
    <t>Incurred medical loss development factors include the paid cost of medical cost containment programs for accident years 2011 and prior.</t>
  </si>
  <si>
    <t>Paid medical loss development factors include the paid cost of medical cost containment programs for accident years 2011 and prior.</t>
  </si>
  <si>
    <t>Each factor is the product of [1.0 + the impact of adjustment for changes in claim settlement rates (Item Q)] and [the adjusted paid medical age-to-age development factor from Exhibit 2.6.1].</t>
  </si>
  <si>
    <t>See Exhibits 2.5.1 and 2.5.2.</t>
  </si>
  <si>
    <t>Source:</t>
  </si>
  <si>
    <t>Age-to-Age (in months) (b)</t>
  </si>
  <si>
    <t>Adjusted for Changes in Claim Settlement Rates</t>
  </si>
  <si>
    <t>Evaluated as of (in months)</t>
  </si>
  <si>
    <r>
      <t>D. Ultimate Indemnity Claim Settlement Ratio</t>
    </r>
    <r>
      <rPr>
        <sz val="10"/>
        <rFont val="Arial"/>
        <family val="2"/>
      </rPr>
      <t xml:space="preserve"> (a)</t>
    </r>
  </si>
  <si>
    <r>
      <t>E. Adjusted Closed Indemnity Claim Counts at Equal Percentiles of Ultimate Claim Counts</t>
    </r>
    <r>
      <rPr>
        <sz val="10"/>
        <rFont val="Arial"/>
        <family val="2"/>
      </rPr>
      <t xml:space="preserve"> (b)</t>
    </r>
  </si>
  <si>
    <r>
      <t>G. Adjusted Average Paid Indemnity per Closed Claim</t>
    </r>
    <r>
      <rPr>
        <sz val="10"/>
        <rFont val="Arial"/>
        <family val="2"/>
      </rPr>
      <t xml:space="preserve"> (c)</t>
    </r>
  </si>
  <si>
    <r>
      <t>H. Adjusted Paid Indemnity on Closed Claims (in $000)</t>
    </r>
    <r>
      <rPr>
        <sz val="10"/>
        <rFont val="Arial"/>
        <family val="2"/>
      </rPr>
      <t xml:space="preserve"> (d)</t>
    </r>
  </si>
  <si>
    <r>
      <t>J. Average Paid Indemnity per Open Claim for Indemnity Claims in Transition</t>
    </r>
    <r>
      <rPr>
        <sz val="10"/>
        <rFont val="Arial"/>
        <family val="2"/>
      </rPr>
      <t xml:space="preserve"> (e)</t>
    </r>
  </si>
  <si>
    <r>
      <t xml:space="preserve">     </t>
    </r>
    <r>
      <rPr>
        <u/>
        <sz val="10"/>
        <rFont val="Arial"/>
        <family val="2"/>
      </rPr>
      <t>Claim Settlement Rates (in $000)</t>
    </r>
    <r>
      <rPr>
        <sz val="10"/>
        <rFont val="Arial"/>
        <family val="2"/>
      </rPr>
      <t xml:space="preserve"> (f)</t>
    </r>
  </si>
  <si>
    <r>
      <t>L. Adjusted Paid Indemnity on Open Claims (in $000)</t>
    </r>
    <r>
      <rPr>
        <sz val="10"/>
        <rFont val="Arial"/>
        <family val="2"/>
      </rPr>
      <t xml:space="preserve"> (g)</t>
    </r>
  </si>
  <si>
    <r>
      <t>M. Adjusted Total Paid Indemnity (in $000)</t>
    </r>
    <r>
      <rPr>
        <sz val="10"/>
        <rFont val="Arial"/>
        <family val="2"/>
      </rPr>
      <t xml:space="preserve"> (h)</t>
    </r>
  </si>
  <si>
    <r>
      <t>O. Paid Indemnity Loss Development Factors</t>
    </r>
    <r>
      <rPr>
        <sz val="10"/>
        <rFont val="Arial"/>
        <family val="2"/>
      </rPr>
      <t xml:space="preserve"> (i)</t>
    </r>
  </si>
  <si>
    <r>
      <t>P. Impact of Adjustment for Changes in Claim Settlement Rates</t>
    </r>
    <r>
      <rPr>
        <sz val="10"/>
        <rFont val="Arial"/>
        <family val="2"/>
      </rPr>
      <t xml:space="preserve"> (j)</t>
    </r>
  </si>
  <si>
    <r>
      <t>G. Adjusted Average Paid Medical per Closed Indemnity Claim</t>
    </r>
    <r>
      <rPr>
        <sz val="10"/>
        <rFont val="Arial"/>
        <family val="2"/>
      </rPr>
      <t xml:space="preserve"> (c)</t>
    </r>
  </si>
  <si>
    <r>
      <t>H. Adjusted Paid Medical (in $000) on Closed Indemnity Claims</t>
    </r>
    <r>
      <rPr>
        <sz val="10"/>
        <rFont val="Arial"/>
        <family val="2"/>
      </rPr>
      <t xml:space="preserve"> (d)</t>
    </r>
  </si>
  <si>
    <r>
      <t>J. Average Paid Medical per Open Indemnity Claim for Indemnity Claims in Transition</t>
    </r>
    <r>
      <rPr>
        <sz val="10"/>
        <rFont val="Arial"/>
        <family val="2"/>
      </rPr>
      <t xml:space="preserve"> (e)</t>
    </r>
  </si>
  <si>
    <r>
      <t xml:space="preserve">     </t>
    </r>
    <r>
      <rPr>
        <u/>
        <sz val="10"/>
        <rFont val="Arial"/>
        <family val="2"/>
      </rPr>
      <t>Indemnity Claim Settlement Rates (in $000)</t>
    </r>
    <r>
      <rPr>
        <sz val="10"/>
        <rFont val="Arial"/>
        <family val="2"/>
      </rPr>
      <t xml:space="preserve"> (f)</t>
    </r>
  </si>
  <si>
    <r>
      <t>L. Adjusted Paid Medical on Open Indemnity Claims (in $000)</t>
    </r>
    <r>
      <rPr>
        <sz val="10"/>
        <rFont val="Arial"/>
        <family val="2"/>
      </rPr>
      <t xml:space="preserve"> (g)</t>
    </r>
  </si>
  <si>
    <r>
      <t>N. Adjusted Total Paid Medical (in $000)</t>
    </r>
    <r>
      <rPr>
        <sz val="10"/>
        <rFont val="Arial"/>
        <family val="2"/>
      </rPr>
      <t xml:space="preserve"> (h)</t>
    </r>
  </si>
  <si>
    <t>Each amount is the sum of [adjusted paid medical on closed indemnity claims (Item H)], [adjusted paid medical on open indemnity claims (Item L)] and [paid medical on medical-only claims (Item M)].  The effect of the paid cost of medical cost containment programs are only present for accident years 2011 and prior.</t>
  </si>
  <si>
    <r>
      <t>P. Paid Medical Loss Development Factors</t>
    </r>
    <r>
      <rPr>
        <sz val="10"/>
        <rFont val="Arial"/>
        <family val="2"/>
      </rPr>
      <t xml:space="preserve"> (i)</t>
    </r>
  </si>
  <si>
    <r>
      <t>Q. Impact of Adjustment for Changes in Indemnity Claim Settlement Rates</t>
    </r>
    <r>
      <rPr>
        <sz val="10"/>
        <rFont val="Arial"/>
        <family val="2"/>
      </rPr>
      <t xml:space="preserve"> (j)</t>
    </r>
  </si>
  <si>
    <t>Medical**</t>
  </si>
  <si>
    <t xml:space="preserve">Cumulative Adjusted </t>
  </si>
  <si>
    <t>for Impact of SB 1160</t>
  </si>
  <si>
    <t xml:space="preserve">Cumulative Unadjusted </t>
  </si>
  <si>
    <t>Cumulative Adjusted</t>
  </si>
  <si>
    <t>for Impact of SB 1160(d)</t>
  </si>
  <si>
    <t>Reform Adjusted</t>
  </si>
  <si>
    <t>See Exhibits 2.6.1 and 2.6.2.</t>
  </si>
  <si>
    <t xml:space="preserve">Based on WCIRB evaluations of the average impact of legislative changes on the cost of indemnity benefits.  These annual changes in benefits reflect the WCIRB's retrospective estimates of the cost impact of recent legislation as reflected in emerging post-reform costs.  The annual cost impacts have been segregated between claim severity and claim frequency impacts. </t>
  </si>
  <si>
    <t xml:space="preserve">    (c) Ultimate severities are on-leveled based on adjustment factors shown on Exhibit 6.3.</t>
  </si>
  <si>
    <t>(a) These adjustment factors are based on Exhibit 4.1, excluding the impact of frequency.</t>
  </si>
  <si>
    <t>From a Special Carrier Study through 1990. Based on WCIRB's Aggregate Indemnity and Medical Costs Calls for years 1991 through 2012. Based on WCIRB medical transaction data from 2013 onwards. Accident years 2011 and subsequent do not include MCCP costs.</t>
  </si>
  <si>
    <t xml:space="preserve">(g)  </t>
  </si>
  <si>
    <r>
      <t xml:space="preserve">Projected Ultimate 
</t>
    </r>
    <r>
      <rPr>
        <u/>
        <sz val="10"/>
        <rFont val="Arial"/>
        <family val="2"/>
      </rPr>
      <t>Loss Ratio</t>
    </r>
  </si>
  <si>
    <t>(4) = (1) x (3)</t>
  </si>
  <si>
    <t xml:space="preserve">    (b) These adjustment factors are based on Exhibit 4.4, excluding the impact of frequency, and 
         including the impact of SB 1160 provisions applicable to outstanding medical losses.</t>
  </si>
  <si>
    <t>Based on the WCIRB's evaluation of the cost impact of changes in the medical fee schedules.</t>
  </si>
  <si>
    <t>5.</t>
  </si>
  <si>
    <t>Developed</t>
  </si>
  <si>
    <t>Loss Ratio (b)</t>
  </si>
  <si>
    <t>Loss Ratio (d)</t>
  </si>
  <si>
    <t>These factors are adjusted for the losses paid prior to July 1, 2017 by -3.6%, -3.8%, -3.4%, -2.4%, -0.9%, and -0.1% to accident years 2011 to 2016, respectively, for the SB 1160 lien reforms. Factors are also adjusted for the impact of pharmaceutical cost reductions to bring the historical payments to the current pharmaceutical cost level.</t>
  </si>
  <si>
    <t>2.</t>
  </si>
  <si>
    <t>3.</t>
  </si>
  <si>
    <r>
      <t xml:space="preserve">Accident
</t>
    </r>
    <r>
      <rPr>
        <u/>
        <sz val="10"/>
        <rFont val="Arial"/>
        <family val="2"/>
      </rPr>
      <t>Year</t>
    </r>
  </si>
  <si>
    <t>The developed medical loss ratios shown were derived based on an adjustment for pharmaceutical cost reductions. They are only for purposes of projecting future medical loss ratios and do not reflect true estimates of ultimate loss ratios for those accident years.</t>
  </si>
  <si>
    <t>Reflects the WCIRB’s most recent estimates of the cost impact of legislation. Does not include the impact of the SB 1160 lien provisions on future medical costs as well as the estimated reductions to pharmaceutical costs attributable to SB 863, which are reflected in the medical loss development projections.</t>
  </si>
  <si>
    <t>(ALAE + MCCP + ULAE, See Appendix C)</t>
  </si>
  <si>
    <t>Age</t>
  </si>
  <si>
    <t>Projected:</t>
  </si>
  <si>
    <t>N/A</t>
  </si>
  <si>
    <t>Loss Ratio (a)</t>
  </si>
  <si>
    <t>Adjustment Factor (b)</t>
  </si>
  <si>
    <t>Adjustment Factor (c)</t>
  </si>
  <si>
    <t>On-Level Factor (b)</t>
  </si>
  <si>
    <t>Pure Premium Ratio (e)</t>
  </si>
  <si>
    <t>Accident years 2011 and subsequent do not reflect the paid MCCP costs.  Accident years 2010 and prior do reflect paid MCCP costs.</t>
  </si>
  <si>
    <t xml:space="preserve">    (a) Estimated ultimate severities for all accident years were derived by dividing ultimate medical losses on indemnity claims by ultimate indemnity claim counts.</t>
  </si>
  <si>
    <t xml:space="preserve">    (b) Adjustments to accident years 2005 through 2010 based on WCIRB’s Annual Calls for Direct California Workers’ Compensation</t>
  </si>
  <si>
    <t xml:space="preserve">         Aggregate Indemnity and Medical Costs.</t>
  </si>
  <si>
    <t>Level Change (a)</t>
  </si>
  <si>
    <t>Medical (b)</t>
  </si>
  <si>
    <t>Medical (c)</t>
  </si>
  <si>
    <t>Medical Severity (a)</t>
  </si>
  <si>
    <t>Frequency Changes (b)</t>
  </si>
  <si>
    <t>Impact on Medical (c)</t>
  </si>
  <si>
    <t>Annual (c)</t>
  </si>
  <si>
    <t>Annual (b)</t>
  </si>
  <si>
    <t>AYE</t>
  </si>
  <si>
    <t>Exhibit 2.5.3</t>
  </si>
  <si>
    <t>Exhibit 2.5.4</t>
  </si>
  <si>
    <t>Exhibit 2.5.5</t>
  </si>
  <si>
    <t>Exhibit 2.5.6</t>
  </si>
  <si>
    <t>Exhibit 2.5.7</t>
  </si>
  <si>
    <t>Exhibit 2.5.8</t>
  </si>
  <si>
    <t>Exhibit 2.6.3</t>
  </si>
  <si>
    <t>Exhibit 2.6.4</t>
  </si>
  <si>
    <t>Exhibit 2.6.5</t>
  </si>
  <si>
    <t>Exhibit 2.6.6</t>
  </si>
  <si>
    <t>Exhibit 2.6.7</t>
  </si>
  <si>
    <t>Exhibit 2.6.8</t>
  </si>
  <si>
    <t>Each factor is the product of [1.0 + the impact of adjustment for changes in claim settlement rates (Item P)]</t>
  </si>
  <si>
    <t>and [the paid indemnity age-to-age development factor from Exhibit 2.5.1].</t>
  </si>
  <si>
    <r>
      <t xml:space="preserve">Paid Loss </t>
    </r>
    <r>
      <rPr>
        <u/>
        <sz val="10"/>
        <rFont val="Arial"/>
        <family val="2"/>
      </rPr>
      <t>Ratio (a)</t>
    </r>
  </si>
  <si>
    <t>Paid</t>
  </si>
  <si>
    <t>changes in claim settlement rates.</t>
  </si>
  <si>
    <t>(2) x (4)</t>
  </si>
  <si>
    <t>(1) + ((5) - (2))</t>
  </si>
  <si>
    <t>for Impact of SB 1160(e)</t>
  </si>
  <si>
    <t>Unadjusted (c)</t>
  </si>
  <si>
    <t>Selected (f)</t>
  </si>
  <si>
    <r>
      <rPr>
        <sz val="10"/>
        <rFont val="Arial"/>
        <family val="2"/>
      </rPr>
      <t xml:space="preserve">    </t>
    </r>
    <r>
      <rPr>
        <u/>
        <sz val="10"/>
        <rFont val="Arial"/>
        <family val="2"/>
      </rPr>
      <t>Indemnity Claim Settlement Rates (k)</t>
    </r>
  </si>
  <si>
    <t>Q. Paid Indemnity Loss Development Factors Adjusted for Changes in</t>
  </si>
  <si>
    <r>
      <rPr>
        <sz val="10"/>
        <rFont val="Arial"/>
        <family val="2"/>
      </rPr>
      <t xml:space="preserve">     </t>
    </r>
    <r>
      <rPr>
        <u/>
        <sz val="10"/>
        <rFont val="Arial"/>
        <family val="2"/>
      </rPr>
      <t>Claim Settlement Rates</t>
    </r>
    <r>
      <rPr>
        <sz val="10"/>
        <rFont val="Arial"/>
        <family val="2"/>
      </rPr>
      <t xml:space="preserve"> (k)</t>
    </r>
  </si>
  <si>
    <t>R. Paid Medical Loss Development Factors Adjusted for Changes in Indemnity</t>
  </si>
  <si>
    <t>LAE</t>
  </si>
  <si>
    <t>9.</t>
  </si>
  <si>
    <t>8.</t>
  </si>
  <si>
    <t>Exhibit 2.5.9</t>
  </si>
  <si>
    <t>Exhibit 2.5.10</t>
  </si>
  <si>
    <t>Exhibit 2.5.11</t>
  </si>
  <si>
    <t>3-Year Historical Avg.</t>
  </si>
  <si>
    <t>Exhibit 2.5.12</t>
  </si>
  <si>
    <t>Ratio of closed indemnity claim counts (Item 1) to the estimated ultimate indemnity claim counts (Item 2) for that accident year.</t>
  </si>
  <si>
    <t>Paid Loss Development Factors</t>
  </si>
  <si>
    <t>Adjusted for the Impact of Claim Settlement Rate</t>
  </si>
  <si>
    <t>Changes on Later Period Development</t>
  </si>
  <si>
    <t>Based on the latest year age-to-age development in indemnity claim counts. See Exhibit 2.5.3.</t>
  </si>
  <si>
    <t>2.  Ult. Claim Counts (a)</t>
  </si>
  <si>
    <t>3. Ultimate Indemnity Claim Settlement Ratio (b)</t>
  </si>
  <si>
    <t>4. Ratio of Incremental Closed Indemnity Claims to Estimated Prior Open Indemnity Claims (c)</t>
  </si>
  <si>
    <t>Share of Open on Prior (d)</t>
  </si>
  <si>
    <t>Equal to 1.0 minus the selected ratio of incremental closed indemnity claims to prior open indemnity claims from Item 4.</t>
  </si>
  <si>
    <t>Equal to [the difference in ultimate indemnity claim settlement ratios from the prior evaluation (Item 3)] divided by</t>
  </si>
  <si>
    <t>[1.0 less the ultimate indemnity claim settlement ratio from the prior evaluation].</t>
  </si>
  <si>
    <t>1.  Reported Closed Indemnity Claim Counts</t>
  </si>
  <si>
    <t>5.  Projected Open + IBNR Indemnity Claim Counts (e)</t>
  </si>
  <si>
    <t>…</t>
  </si>
  <si>
    <t>Equal to the Projected Open + IBNR Indemnity Claim Counts (Item 5) divided by the Ultimate Indemnity Claim Counts (Item 2).</t>
  </si>
  <si>
    <t>The italicized diagonals are based on historical data while the remaining figures are projections.</t>
  </si>
  <si>
    <t>Equal to the Ratio of Projected Open Claim Counts to Ultimate Claim Counts (Item 6) divided by the three-year historical average.</t>
  </si>
  <si>
    <t>6. Ratio of Projected Open Claim Counts to Ultimate Claim Counts (f)</t>
  </si>
  <si>
    <t>7. Ratio of Projected Percent Open to Historical Percent Open (g)</t>
  </si>
  <si>
    <t>9.  Adjustment Ratio (i)</t>
  </si>
  <si>
    <t>Age-to-Age Paid Development (in months):</t>
  </si>
  <si>
    <t>Indemnity development factors are from Exhibit 2.3.2. Medical development factors are from Exhibit 2.4.2 and include</t>
  </si>
  <si>
    <t>adjustments for SB 1160 and changes in pharmaceutical costs.</t>
  </si>
  <si>
    <t>Equal to the Ratio of Projected Percent Open to Historical Percent Open (Item 7) for the given accident year, with the</t>
  </si>
  <si>
    <t>difference from 1.0 adjusted by 40% to reflect the estimated impact of claim settlement rate changes on later period development.</t>
  </si>
  <si>
    <t>Equal to the [three year average factors (Item 8) - 1.0] multiplied by the Adjustment Ratio (Item 9), and adding 1.0.</t>
  </si>
  <si>
    <t>10.  Adjusted Factors (j)</t>
  </si>
  <si>
    <t>8.  3-Year Average (h)</t>
  </si>
  <si>
    <t>Adjusted (a)(b)</t>
  </si>
  <si>
    <t>Based on Exhibit 1.</t>
  </si>
  <si>
    <t>Based on Exhibit 1. Paid MCCP costs are excluded from accident years 2011 and subsequent.</t>
  </si>
  <si>
    <t>Cumulative (c)</t>
  </si>
  <si>
    <t>Accident Year Indemnity Claim Frequency Model</t>
  </si>
  <si>
    <t xml:space="preserve">    (a) Estimated ultimate severities for all accident years are derived by dividing ultimate medical 
         losses on indemnity claims by ultimate indemnity claim counts.  The estimated ultimate 
         medical severities were derived from the projected ultimate loss ratios shown in Exhibit 3.2, 
         column (6).
</t>
  </si>
  <si>
    <t>Indicated Loss to Industry Average Filed Pure Premium Ratios and Average Pure Premium Rate</t>
  </si>
  <si>
    <t>The italicized diagonal is equal to the Ultimate Indemnity Claim Counts (Item 2) less the Reported Closed Indemnity</t>
  </si>
  <si>
    <t>Claim Counts (Item 1) as of the latest evaluation. The remaining figures are projected based on the italicized diagonal and</t>
  </si>
  <si>
    <t>the Share of Open on Prior from Item 4.</t>
  </si>
  <si>
    <t>PDRS Adjustment</t>
  </si>
  <si>
    <t>w/ PDRS</t>
  </si>
  <si>
    <t>w/o PDRS</t>
  </si>
  <si>
    <t>Reform Adj - w/ Freq</t>
  </si>
  <si>
    <t>Reform Adj - w/o Freq</t>
  </si>
  <si>
    <t>PDRS weights</t>
  </si>
  <si>
    <t>(Annual 0.0%)</t>
  </si>
  <si>
    <t>and extrapolated to 80 development years.</t>
  </si>
  <si>
    <t>Factors as noted in footnote (f):</t>
  </si>
  <si>
    <t>SB 1160</t>
  </si>
  <si>
    <t>Factors as noted in footnote (d):</t>
  </si>
  <si>
    <t>to 80 development years.</t>
  </si>
  <si>
    <t xml:space="preserve">These factors are adjusted for the losses paid prior to July 1, 2017 by -3.6%, -3.8%, -3.4%, -2.4%, -0.9%, and -0.1% to accident years 2011 to 2016, respectively, for the </t>
  </si>
  <si>
    <t>SB 1160 lien reforms. Factors are also adjusted for the impact of pharmaceutical cost reductions to bring the historical payments to the current pharmaceutical cost level.</t>
  </si>
  <si>
    <t>extrapolated to 80 development years.</t>
  </si>
  <si>
    <t>ALAE</t>
  </si>
  <si>
    <t>MCCP</t>
  </si>
  <si>
    <t>ULAE</t>
  </si>
  <si>
    <t>Accident Year Experience as of December 31, 2020</t>
  </si>
  <si>
    <t>WCIRB quarterly experience calls, excluding COVID-19 claims.</t>
  </si>
  <si>
    <t>Selections are latest year for the 12-to-24 month through 96-to-108 month factors and six-year average for the subsequent age-to-age factors.</t>
  </si>
  <si>
    <t>24/12</t>
  </si>
  <si>
    <t>36/24</t>
  </si>
  <si>
    <t>48/36</t>
  </si>
  <si>
    <t>60/48</t>
  </si>
  <si>
    <t>72/60</t>
  </si>
  <si>
    <t>84/72</t>
  </si>
  <si>
    <t>96/84</t>
  </si>
  <si>
    <t>108/96</t>
  </si>
  <si>
    <t>120/108</t>
  </si>
  <si>
    <t>132/120</t>
  </si>
  <si>
    <t>144/132</t>
  </si>
  <si>
    <t>156/144</t>
  </si>
  <si>
    <t>168/156</t>
  </si>
  <si>
    <t>180/168</t>
  </si>
  <si>
    <t>192/180</t>
  </si>
  <si>
    <t>204/192</t>
  </si>
  <si>
    <t>216/204</t>
  </si>
  <si>
    <t>228/216</t>
  </si>
  <si>
    <t>240/228</t>
  </si>
  <si>
    <t>252/240</t>
  </si>
  <si>
    <t>264/252</t>
  </si>
  <si>
    <t>276/264</t>
  </si>
  <si>
    <t>288/276</t>
  </si>
  <si>
    <t>300/288</t>
  </si>
  <si>
    <t>312/300</t>
  </si>
  <si>
    <t>324/312</t>
  </si>
  <si>
    <t>336/324</t>
  </si>
  <si>
    <t>348/336</t>
  </si>
  <si>
    <t>360/348</t>
  </si>
  <si>
    <t>372/360</t>
  </si>
  <si>
    <t>384/372</t>
  </si>
  <si>
    <t>396/384</t>
  </si>
  <si>
    <t>408/396</t>
  </si>
  <si>
    <t>420/408</t>
  </si>
  <si>
    <t>432/420</t>
  </si>
  <si>
    <t>ULT/432Inc (b)</t>
  </si>
  <si>
    <t>The ULT/432Inc tail factor was calculated based on an inverse power curve fit to a six-year average of the 108-to-120 through 348-to-360 factors, excluding the 2016, 2017, and 2018 evaluations, and extrapolated to 80 development years.</t>
  </si>
  <si>
    <t>ULT/432Inc (c)</t>
  </si>
  <si>
    <t>Selections are latest year for the 12-to-24 month through 96-to-108 month factors and three-year average for the subsequent age-to-age factors.</t>
  </si>
  <si>
    <t>ULT/432Pd (b)</t>
  </si>
  <si>
    <t xml:space="preserve">The ULT/432Pd tail factor was calculated based on an inverse power curve fit to a four-year average of the 108-to-120 through 348-to-360 factors and extrapolated </t>
  </si>
  <si>
    <t>ULT/432Pd (e)</t>
  </si>
  <si>
    <t xml:space="preserve">The ULT/432Pd tail factor was calculated based on an inverse power curve fit to a four-year average of the 108-to-120 through 348-to-360 adjusted factors and </t>
  </si>
  <si>
    <t>The cumulative factors for 48, 60, and 72 months are adjusted by -3.2%, -2.0%, and -1.1%, respectively, for the impact of the SB 1160 reductions in future lien filings.</t>
  </si>
  <si>
    <t>Selections are two-year averages for the 12-to-24 month through 96-to-108 month factors and three-year averages for the subsequent paid age-to-age factors.</t>
  </si>
  <si>
    <t>ULT/432Pd (d)</t>
  </si>
  <si>
    <t>Adjusted for the impact of changes in claim settlement rates on later period development for 276 months and later. See Exhibits 2.5.9 through 2.5.12.</t>
  </si>
  <si>
    <t xml:space="preserve">The ULT/432Pd tail factor was calculated based on an inverse power curve fit to a four-year average of the 108-to-120 through 348-to-360 factors </t>
  </si>
  <si>
    <t>Age-to-Age Development (in months):</t>
  </si>
  <si>
    <t>Source:  Accident year experience of insurers with available claim count data, excluding COVID-19 claims.</t>
  </si>
  <si>
    <t>2-Year Average</t>
  </si>
  <si>
    <t>Source:  Accident year experience of insurers with available claim count and paid loss data, excluding COVID-19 claims.</t>
  </si>
  <si>
    <t xml:space="preserve">Based on calculations shown on Exhibits 2.5.3 to 2.5.8. Each of these selections is calculated as the two-year average paid indemnity age-to-age factor multiplied by an adjustment for </t>
  </si>
  <si>
    <t>ULT/432Pd (g)</t>
  </si>
  <si>
    <t>Based on Experience as of December 31, 2020</t>
  </si>
  <si>
    <t>Based on experience evaluated as of December 31, 2020. Reflects an adjustment for the pharmaceutical cost reductions to restate the historical medical paid-to-date ratios at a 2018 pharmaceutical cost level.</t>
  </si>
  <si>
    <t>(Annual 0.0)</t>
  </si>
  <si>
    <t>(Annual 1.9)</t>
  </si>
  <si>
    <t>9/1/2022</t>
  </si>
  <si>
    <t>These factors represent the combined impact of the annual benefit changes on claim severity shown in Column (1), claim frequencies shown in Column (2) and wage inflation impact on benefits shown in Column (3), adjusted to the 9/1/2022 level.</t>
  </si>
  <si>
    <t>These impacts are based on the weekly wages (see column 2 of Exhibit 5.1) of injured workers and the legislatively scheduled benefits for that year.</t>
  </si>
  <si>
    <t>(Annual 3.1%)</t>
  </si>
  <si>
    <t>Level Change (b)</t>
  </si>
  <si>
    <t>Wage Level (c)</t>
  </si>
  <si>
    <t>(Annual = 2.8)</t>
  </si>
  <si>
    <t>(Annual = 3.2)</t>
  </si>
  <si>
    <t>Historical wage changes through 2020 are based on Bureau of Labor Statistics data. Forecasts for 2021 and forward are based on the average of wage level projections made by the UCLA Anderson School of Business as of March 2021 and those made by the California Department of Finance as of November 2020.</t>
  </si>
  <si>
    <t>Wage level changes for 2020 to 2023 were adjusted for estimated shifts in industrial mix and shifts in the wage level mix within industries impacting average wages in order to more appropriately project changes in average wages for the typical worker. See Appendix B, Exhibit 2 for more information.</t>
  </si>
  <si>
    <t>Based on Column (1) for 2019 and prior and Coulmn (2) for 2020 and subsequent.</t>
  </si>
  <si>
    <t xml:space="preserve">(c) </t>
  </si>
  <si>
    <t>(2) an additional adjustment factor, which is the ratio of the average advisory January 1, 2021 pure premium rate ($1.46) to the industry</t>
  </si>
  <si>
    <t>average filed pure premium rate as of January 1, 2021 ($1.86).</t>
  </si>
  <si>
    <t xml:space="preserve">Reflects (1) advisory pure premium rate level changes to bring premium to the advisory January 1, 2021 pure premium rate level and </t>
  </si>
  <si>
    <t>rate level as of January 1, 2021.</t>
  </si>
  <si>
    <t>January 1, 2021 (c)</t>
  </si>
  <si>
    <t>January 1, 2021 (d)</t>
  </si>
  <si>
    <t>January 1, 2021</t>
  </si>
  <si>
    <t>2019*</t>
  </si>
  <si>
    <t>As of PY 2018 Preliminary 1st Set &amp; March 2021 UCLA</t>
  </si>
  <si>
    <t>per $M Exposure at PY 2019 Level</t>
  </si>
  <si>
    <t>Economic variables are historical through 2020; March 2021 UCLA Anderson Forecasts for 2021 on.</t>
  </si>
  <si>
    <t>Regression is over AY 1979 through AY 2019.  AY 2020 through AY 2023 are projections.</t>
  </si>
  <si>
    <t>*AY 2019 is preliminary and change is based on a comparison of 2019 accidents on 2018 policies to 2018 accidents on 2017 policies.</t>
  </si>
  <si>
    <t>Source: WCIRB quarterly experience calls, excluding COVID-19 claims.</t>
  </si>
  <si>
    <t>These on-level ratios were projected based on an estimated annual indemnity severity trend from Exhibit 6.2, the actual intra-class frequency trend for accident year 2020 from Appendix B, Exhibit 3, and projected frequency trends for accident years 2021 to 2023 from Exhibit 6.1; these trends were then separately applied to the 2019 on-level ratio.</t>
  </si>
  <si>
    <t>These on-level ratios were projected based on an estimated annual medical severity trend from Exhibit 6.4, the actual intra-class frequency trend for accident year 2020 from Appendix B, Exhibit 3, and projected frequency trends for accident years 2021 to 2023 from Exhibit 6.1; these trends were then separately applied to the 2019 on-level ratio.</t>
  </si>
  <si>
    <t>For Policies with Effective Dates between September 1, 2021 and August 31, 2022</t>
  </si>
  <si>
    <t>Indicated Total Loss and Loss Adjustment Expense to Industry Average Filed Pure Premium Ratio Before Updates to Medical Fee Schedule
(1) x (2)</t>
  </si>
  <si>
    <t>Impact of Updates to Official Medical Fee Schedule</t>
  </si>
  <si>
    <t>(See Appendix D)</t>
  </si>
  <si>
    <t>Impact of New Medical-Legal Fee Schedule</t>
  </si>
  <si>
    <t>(See Appendix E)</t>
  </si>
  <si>
    <t>Indicated Total Loss and Loss Adjustment Expense to Industry Average Filed Pure Premium Ratio After Updates to Medical Fee Schedule
(3) + (1) x [(4) + (5)]</t>
  </si>
  <si>
    <t>Difference in Off-Balance Factor
(See Section C, Appendix B of the WCIRB's September 1, 2021 Regulatory Filing)</t>
  </si>
  <si>
    <t>Indicated Difference from Industry Average Filed Pure Premium Rate per 
$100 of Payroll as of January 1, 2021
[(6) x [(7) + 1.0] - 1.0]</t>
  </si>
  <si>
    <t>Industry Average Filed Pure Premium Rate per $100 of Payroll as of 
January 1, 2021</t>
  </si>
  <si>
    <t>Indicated Average Pure Premium Rate per $100 of Payroll for Policies with Effective Dates between September 1, 2021 and August 31, 2022
(9) x [1.0 + (8)]</t>
  </si>
  <si>
    <t>Based on calculations shown on Exhibits 2.6.3 to 2.6.8. Each of these selections are calculated as the two-year average paid medical age-to-age factor multiplied by an adjustment for changes in claim settlement rates.</t>
  </si>
  <si>
    <t>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</si>
</sst>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8" formatCode="&quot;$&quot;#,##0.00_);[Red]\(&quot;$&quot;#,##0.00\)"/>
    <numFmt numFmtId="43" formatCode="_(* #,##0.00_);_(* \(#,##0.00\);_(* &quot;-&quot;??_);_(@_)"/>
    <numFmt numFmtId="164" formatCode="0.000"/>
    <numFmt numFmtId="165" formatCode="#,##0.000"/>
    <numFmt numFmtId="166" formatCode="#,##0.00000"/>
    <numFmt numFmtId="167" formatCode="0.0"/>
    <numFmt numFmtId="168" formatCode="0.0%"/>
    <numFmt numFmtId="169" formatCode="0.0%\ \ \ \ \ \ \ \ "/>
    <numFmt numFmtId="170" formatCode="0.000\ \ \ \ \ \ \ \ "/>
    <numFmt numFmtId="171" formatCode="0.0000"/>
    <numFmt numFmtId="172" formatCode="General\ \ \ \ \ \ \ \ "/>
    <numFmt numFmtId="173" formatCode="#,##0.000000"/>
    <numFmt numFmtId="174" formatCode="_(* #,##0_);_(* \(#,##0\);_(* &quot;-&quot;??_);_(@_)"/>
    <numFmt numFmtId="175" formatCode="_(* #,##0.000_);_(* \(#,##0.000\);_(* &quot;-&quot;??_);_(@_)"/>
    <numFmt numFmtId="176" formatCode="_(* #,##0.00000_);_(* \(#,##0.00000\);_(* &quot;-&quot;??_);_(@_)"/>
  </numFmts>
  <fonts count="25">
    <font>
      <sz val="11"/>
      <color theme="1"/>
      <name val="Calibri"/>
      <family val="2"/>
      <scheme val="minor"/>
    </font>
    <font>
      <sz val="10"/>
      <color theme="1"/>
      <name val="Arial"/>
      <family val="2"/>
    </font>
    <font>
      <sz val="10"/>
      <name val="Arial"/>
      <family val="2"/>
    </font>
    <font>
      <b/>
      <sz val="10"/>
      <name val="Arial"/>
      <family val="2"/>
    </font>
    <font>
      <u/>
      <sz val="10"/>
      <name val="Arial"/>
      <family val="2"/>
    </font>
    <font>
      <sz val="10"/>
      <name val="Univers 55"/>
    </font>
    <font>
      <b/>
      <u/>
      <sz val="10"/>
      <name val="Arial"/>
      <family val="2"/>
    </font>
    <font>
      <i/>
      <sz val="10"/>
      <name val="Arial"/>
      <family val="2"/>
    </font>
    <font>
      <sz val="11"/>
      <color theme="1"/>
      <name val="Calibri"/>
      <family val="2"/>
      <scheme val="minor"/>
    </font>
    <font>
      <sz val="10"/>
      <color rgb="FFFF0000"/>
      <name val="Arial"/>
      <family val="2"/>
    </font>
    <font>
      <sz val="10"/>
      <color rgb="FF00B0F0"/>
      <name val="Arial"/>
      <family val="2"/>
    </font>
    <font>
      <sz val="10"/>
      <color rgb="FF0070C0"/>
      <name val="Arial"/>
      <family val="2"/>
    </font>
    <font>
      <sz val="10"/>
      <color theme="1"/>
      <name val="Arial"/>
      <family val="2"/>
    </font>
    <font>
      <u/>
      <sz val="10"/>
      <color theme="1"/>
      <name val="Arial"/>
      <family val="2"/>
    </font>
    <font>
      <sz val="10"/>
      <name val="Univers 55"/>
      <family val="2"/>
    </font>
    <font>
      <sz val="10"/>
      <color indexed="9"/>
      <name val="Arial"/>
      <family val="2"/>
    </font>
    <font>
      <sz val="11"/>
      <color rgb="FF0070C0"/>
      <name val="Calibri"/>
      <family val="2"/>
      <scheme val="minor"/>
    </font>
    <font>
      <sz val="11"/>
      <name val="Calibri"/>
      <family val="2"/>
      <scheme val="minor"/>
    </font>
    <font>
      <sz val="12"/>
      <name val="Arial"/>
      <family val="2"/>
    </font>
    <font>
      <sz val="9"/>
      <name val="Arial"/>
      <family val="2"/>
    </font>
    <font>
      <b/>
      <sz val="10"/>
      <color rgb="FFFF0000"/>
      <name val="Arial"/>
      <family val="2"/>
    </font>
    <font>
      <sz val="10"/>
      <color rgb="FF00B050"/>
      <name val="Arial"/>
      <family val="2"/>
    </font>
    <font>
      <u/>
      <sz val="10"/>
      <color rgb="FF0070C0"/>
      <name val="Arial"/>
      <family val="2"/>
    </font>
    <font>
      <i/>
      <sz val="10"/>
      <color rgb="FF0070C0"/>
      <name val="Arial"/>
      <family val="2"/>
    </font>
    <font>
      <b/>
      <sz val="10"/>
      <color rgb="FF0070C0"/>
      <name val="Arial"/>
      <family val="2"/>
    </font>
  </fonts>
  <fills count="2">
    <fill>
      <patternFill patternType="none"/>
    </fill>
    <fill>
      <patternFill patternType="gray125"/>
    </fill>
  </fills>
  <borders count="17">
    <border>
      <left/>
      <right/>
      <top/>
      <bottom/>
      <diagonal/>
    </border>
    <border>
      <left/>
      <right/>
      <top/>
      <bottom style="thin">
        <color indexed="64"/>
      </bottom>
      <diagonal/>
    </border>
    <border>
      <left/>
      <right/>
      <top style="thin">
        <color indexed="64"/>
      </top>
      <bottom/>
      <diagonal/>
    </border>
    <border>
      <left/>
      <right/>
      <top style="thin">
        <color indexed="8"/>
      </top>
      <bottom/>
      <diagonal/>
    </border>
    <border>
      <left/>
      <right/>
      <top style="thin">
        <color indexed="8"/>
      </top>
      <bottom style="thin">
        <color indexed="64"/>
      </bottom>
      <diagonal/>
    </border>
    <border>
      <left/>
      <right/>
      <top style="dotted">
        <color indexed="8"/>
      </top>
      <bottom/>
      <diagonal/>
    </border>
    <border>
      <left/>
      <right/>
      <top/>
      <bottom style="dotted">
        <color indexed="8"/>
      </bottom>
      <diagonal/>
    </border>
    <border>
      <left/>
      <right/>
      <top style="dotted">
        <color indexed="8"/>
      </top>
      <bottom style="dotted">
        <color indexed="8"/>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1">
    <xf numFmtId="0" fontId="0" fillId="0" borderId="0"/>
    <xf numFmtId="0" fontId="2" fillId="0" borderId="0"/>
    <xf numFmtId="0" fontId="5" fillId="0" borderId="0"/>
    <xf numFmtId="0" fontId="2" fillId="0" borderId="0"/>
    <xf numFmtId="9" fontId="8" fillId="0" borderId="0" applyFont="0" applyFill="0" applyBorder="0" applyAlignment="0" applyProtection="0"/>
    <xf numFmtId="9" fontId="2" fillId="0" borderId="0" applyFont="0" applyFill="0" applyBorder="0" applyAlignment="0" applyProtection="0"/>
    <xf numFmtId="43" fontId="8" fillId="0" borderId="0" applyFont="0" applyFill="0" applyBorder="0" applyAlignment="0" applyProtection="0"/>
    <xf numFmtId="0" fontId="8" fillId="0" borderId="0"/>
    <xf numFmtId="9" fontId="8" fillId="0" borderId="0" applyFont="0" applyFill="0" applyBorder="0" applyAlignment="0" applyProtection="0"/>
    <xf numFmtId="43" fontId="2" fillId="0" borderId="0" applyFont="0" applyFill="0" applyBorder="0" applyAlignment="0" applyProtection="0"/>
    <xf numFmtId="0" fontId="14" fillId="0" borderId="0"/>
  </cellStyleXfs>
  <cellXfs count="548">
    <xf numFmtId="0" fontId="0" fillId="0" borderId="0" xfId="0"/>
    <xf numFmtId="0" fontId="2" fillId="0" borderId="0" xfId="1" applyFont="1" applyFill="1" applyAlignment="1">
      <alignment horizontal="center"/>
    </xf>
    <xf numFmtId="164" fontId="9" fillId="0" borderId="0" xfId="1" applyNumberFormat="1" applyFont="1" applyFill="1" applyAlignment="1">
      <alignment horizontal="center"/>
    </xf>
    <xf numFmtId="0" fontId="2" fillId="0" borderId="0" xfId="1" applyFont="1" applyFill="1" applyAlignment="1">
      <alignment horizontal="right"/>
    </xf>
    <xf numFmtId="0" fontId="4" fillId="0" borderId="0" xfId="1" applyFont="1" applyFill="1" applyAlignment="1">
      <alignment horizontal="right"/>
    </xf>
    <xf numFmtId="3" fontId="2" fillId="0" borderId="0" xfId="1" applyNumberFormat="1" applyFont="1"/>
    <xf numFmtId="1" fontId="2" fillId="0" borderId="0" xfId="1" applyNumberFormat="1" applyFont="1"/>
    <xf numFmtId="3" fontId="2" fillId="0" borderId="0" xfId="1" applyNumberFormat="1" applyFont="1" applyAlignment="1">
      <alignment horizontal="center"/>
    </xf>
    <xf numFmtId="164" fontId="2" fillId="0" borderId="0" xfId="1" applyNumberFormat="1" applyFont="1" applyAlignment="1">
      <alignment horizontal="center"/>
    </xf>
    <xf numFmtId="0" fontId="2" fillId="0" borderId="0" xfId="1" applyFont="1" applyAlignment="1">
      <alignment horizontal="right" vertical="top"/>
    </xf>
    <xf numFmtId="0" fontId="2" fillId="0" borderId="0" xfId="0" applyFont="1"/>
    <xf numFmtId="0" fontId="4" fillId="0" borderId="0" xfId="1" applyFont="1" applyAlignment="1">
      <alignment horizontal="center"/>
    </xf>
    <xf numFmtId="0" fontId="2" fillId="0" borderId="0" xfId="1" applyFont="1" applyAlignment="1">
      <alignment horizontal="center"/>
    </xf>
    <xf numFmtId="165" fontId="2" fillId="0" borderId="0" xfId="1" applyNumberFormat="1" applyFont="1" applyAlignment="1">
      <alignment horizontal="center"/>
    </xf>
    <xf numFmtId="0" fontId="2" fillId="0" borderId="0" xfId="1" applyFont="1" applyAlignment="1">
      <alignment horizontal="left"/>
    </xf>
    <xf numFmtId="0" fontId="2" fillId="0" borderId="0" xfId="1" applyFont="1" applyAlignment="1">
      <alignment horizontal="right"/>
    </xf>
    <xf numFmtId="165" fontId="2" fillId="0" borderId="0" xfId="1" applyNumberFormat="1" applyFont="1" applyFill="1" applyAlignment="1">
      <alignment horizontal="center"/>
    </xf>
    <xf numFmtId="0" fontId="2" fillId="0" borderId="0" xfId="1" applyFont="1" applyFill="1"/>
    <xf numFmtId="0" fontId="4" fillId="0" borderId="0" xfId="1" applyFont="1" applyFill="1" applyAlignment="1">
      <alignment horizontal="left"/>
    </xf>
    <xf numFmtId="0" fontId="4" fillId="0" borderId="0" xfId="1" applyFont="1" applyFill="1" applyAlignment="1">
      <alignment horizontal="center"/>
    </xf>
    <xf numFmtId="0" fontId="2" fillId="0" borderId="0" xfId="1" quotePrefix="1" applyFont="1" applyFill="1" applyAlignment="1">
      <alignment horizontal="right" vertical="top"/>
    </xf>
    <xf numFmtId="165" fontId="11" fillId="0" borderId="0" xfId="1" applyNumberFormat="1" applyFont="1" applyFill="1" applyAlignment="1">
      <alignment horizontal="center"/>
    </xf>
    <xf numFmtId="0" fontId="2" fillId="0" borderId="0" xfId="1" applyFont="1" applyFill="1" applyAlignment="1">
      <alignment horizontal="left"/>
    </xf>
    <xf numFmtId="165" fontId="2" fillId="0" borderId="0" xfId="1" applyNumberFormat="1" applyFont="1" applyFill="1"/>
    <xf numFmtId="0" fontId="2" fillId="0" borderId="0" xfId="1" applyFont="1" applyFill="1" applyAlignment="1">
      <alignment horizontal="right" vertical="top"/>
    </xf>
    <xf numFmtId="0" fontId="2" fillId="0" borderId="0" xfId="0" applyFont="1" applyAlignment="1">
      <alignment horizontal="centerContinuous"/>
    </xf>
    <xf numFmtId="0" fontId="4" fillId="0" borderId="0" xfId="0" applyFont="1" applyAlignment="1">
      <alignment horizontal="center"/>
    </xf>
    <xf numFmtId="0" fontId="2" fillId="0" borderId="0" xfId="0" quotePrefix="1" applyFont="1" applyAlignment="1">
      <alignment horizontal="center"/>
    </xf>
    <xf numFmtId="1" fontId="2" fillId="0" borderId="0" xfId="0" applyNumberFormat="1" applyFont="1" applyFill="1" applyAlignment="1">
      <alignment horizontal="center"/>
    </xf>
    <xf numFmtId="164" fontId="2" fillId="0" borderId="0" xfId="0" applyNumberFormat="1" applyFont="1" applyFill="1" applyAlignment="1">
      <alignment horizontal="center"/>
    </xf>
    <xf numFmtId="164" fontId="2" fillId="0" borderId="0" xfId="0" applyNumberFormat="1" applyFont="1" applyAlignment="1">
      <alignment horizontal="center"/>
    </xf>
    <xf numFmtId="0" fontId="2" fillId="0" borderId="0" xfId="0" applyFont="1" applyAlignment="1">
      <alignment horizontal="center" vertical="top"/>
    </xf>
    <xf numFmtId="164" fontId="2" fillId="0" borderId="0" xfId="0" applyNumberFormat="1" applyFont="1" applyFill="1" applyBorder="1" applyAlignment="1">
      <alignment horizontal="center"/>
    </xf>
    <xf numFmtId="164" fontId="2" fillId="0" borderId="0" xfId="0" applyNumberFormat="1" applyFont="1" applyBorder="1" applyAlignment="1">
      <alignment horizontal="center"/>
    </xf>
    <xf numFmtId="1" fontId="2" fillId="0" borderId="0" xfId="0" applyNumberFormat="1" applyFont="1" applyAlignment="1">
      <alignment horizontal="center"/>
    </xf>
    <xf numFmtId="164" fontId="2" fillId="0" borderId="0" xfId="0" applyNumberFormat="1" applyFont="1" applyAlignment="1">
      <alignment horizontal="right"/>
    </xf>
    <xf numFmtId="0" fontId="2" fillId="0" borderId="0" xfId="0" applyFont="1" applyAlignment="1">
      <alignment vertical="top"/>
    </xf>
    <xf numFmtId="164" fontId="2" fillId="0" borderId="1" xfId="0" applyNumberFormat="1" applyFont="1" applyFill="1" applyBorder="1" applyAlignment="1">
      <alignment horizontal="center"/>
    </xf>
    <xf numFmtId="0" fontId="2" fillId="0" borderId="0" xfId="0" applyFont="1" applyFill="1" applyAlignment="1">
      <alignment horizontal="centerContinuous"/>
    </xf>
    <xf numFmtId="0" fontId="2" fillId="0" borderId="0" xfId="0" applyFont="1" applyFill="1" applyAlignment="1">
      <alignment horizontal="center"/>
    </xf>
    <xf numFmtId="0" fontId="2" fillId="0" borderId="0" xfId="0" quotePrefix="1" applyFont="1" applyFill="1" applyAlignment="1">
      <alignment horizontal="center"/>
    </xf>
    <xf numFmtId="0" fontId="4" fillId="0" borderId="0" xfId="0" applyFont="1" applyFill="1" applyAlignment="1">
      <alignment horizontal="center"/>
    </xf>
    <xf numFmtId="0" fontId="2" fillId="0" borderId="0" xfId="0" applyFont="1" applyFill="1" applyAlignment="1">
      <alignment horizontal="center" vertical="top"/>
    </xf>
    <xf numFmtId="10" fontId="2" fillId="0" borderId="0" xfId="5" applyNumberFormat="1" applyFont="1" applyFill="1" applyAlignment="1">
      <alignment horizontal="right"/>
    </xf>
    <xf numFmtId="0" fontId="2" fillId="0" borderId="0" xfId="0" applyFont="1" applyFill="1"/>
    <xf numFmtId="164" fontId="2" fillId="0" borderId="0" xfId="0" quotePrefix="1" applyNumberFormat="1" applyFont="1" applyAlignment="1">
      <alignment horizontal="center"/>
    </xf>
    <xf numFmtId="164" fontId="4" fillId="0" borderId="0" xfId="0" applyNumberFormat="1" applyFont="1" applyAlignment="1">
      <alignment horizontal="center"/>
    </xf>
    <xf numFmtId="167" fontId="2" fillId="0" borderId="0" xfId="0" applyNumberFormat="1" applyFont="1" applyAlignment="1">
      <alignment horizontal="right"/>
    </xf>
    <xf numFmtId="167" fontId="2" fillId="0" borderId="0" xfId="0" applyNumberFormat="1" applyFont="1" applyAlignment="1">
      <alignment horizontal="center"/>
    </xf>
    <xf numFmtId="0" fontId="2" fillId="0" borderId="0" xfId="0" applyFont="1" applyAlignment="1">
      <alignment horizontal="left"/>
    </xf>
    <xf numFmtId="168" fontId="2" fillId="0" borderId="0" xfId="0" applyNumberFormat="1" applyFont="1"/>
    <xf numFmtId="0" fontId="2" fillId="0" borderId="0" xfId="0" applyFont="1" applyAlignment="1">
      <alignment horizontal="left" vertical="top"/>
    </xf>
    <xf numFmtId="0" fontId="11" fillId="0" borderId="0" xfId="0" applyFont="1" applyAlignment="1">
      <alignment horizontal="center"/>
    </xf>
    <xf numFmtId="0" fontId="2" fillId="0" borderId="0" xfId="0" applyFont="1" applyFill="1" applyAlignment="1"/>
    <xf numFmtId="164" fontId="2" fillId="0" borderId="0" xfId="0" applyNumberFormat="1" applyFont="1"/>
    <xf numFmtId="0" fontId="2" fillId="0" borderId="0" xfId="0" quotePrefix="1" applyFont="1" applyAlignment="1">
      <alignment horizontal="right"/>
    </xf>
    <xf numFmtId="0" fontId="2" fillId="0" borderId="0" xfId="0" applyFont="1" applyAlignment="1">
      <alignment horizontal="right"/>
    </xf>
    <xf numFmtId="164" fontId="2" fillId="0" borderId="0" xfId="0" applyNumberFormat="1" applyFont="1" applyFill="1"/>
    <xf numFmtId="14" fontId="2" fillId="0" borderId="0" xfId="0" applyNumberFormat="1" applyFont="1" applyFill="1" applyAlignment="1">
      <alignment horizontal="center"/>
    </xf>
    <xf numFmtId="0" fontId="2" fillId="0" borderId="0" xfId="0" applyFont="1" applyFill="1" applyAlignment="1">
      <alignment horizontal="right" vertical="top"/>
    </xf>
    <xf numFmtId="0" fontId="2" fillId="0" borderId="0" xfId="0" quotePrefix="1" applyFont="1" applyFill="1" applyAlignment="1">
      <alignment horizontal="right" vertical="top"/>
    </xf>
    <xf numFmtId="0" fontId="2" fillId="0" borderId="0" xfId="0" applyFont="1" applyBorder="1" applyAlignment="1">
      <alignment horizontal="center"/>
    </xf>
    <xf numFmtId="0" fontId="4" fillId="0" borderId="0" xfId="0" applyFont="1" applyBorder="1" applyAlignment="1">
      <alignment horizontal="center"/>
    </xf>
    <xf numFmtId="0" fontId="2" fillId="0" borderId="0" xfId="0" applyFont="1" applyAlignment="1">
      <alignment horizontal="center" vertical="center"/>
    </xf>
    <xf numFmtId="2" fontId="10" fillId="0" borderId="0" xfId="0" applyNumberFormat="1" applyFont="1" applyAlignment="1">
      <alignment horizontal="center" vertical="center"/>
    </xf>
    <xf numFmtId="0" fontId="4" fillId="0" borderId="0" xfId="0" applyFont="1"/>
    <xf numFmtId="167" fontId="4" fillId="0" borderId="0" xfId="0" applyNumberFormat="1" applyFont="1" applyAlignment="1">
      <alignment horizontal="center"/>
    </xf>
    <xf numFmtId="167" fontId="2" fillId="0" borderId="0" xfId="0" applyNumberFormat="1" applyFont="1"/>
    <xf numFmtId="2" fontId="2" fillId="0" borderId="0" xfId="0" applyNumberFormat="1" applyFont="1"/>
    <xf numFmtId="0" fontId="10" fillId="0" borderId="0" xfId="0" applyFont="1" applyAlignment="1">
      <alignment horizontal="center"/>
    </xf>
    <xf numFmtId="15" fontId="4" fillId="0" borderId="0" xfId="0" applyNumberFormat="1" applyFont="1" applyAlignment="1">
      <alignment horizontal="center"/>
    </xf>
    <xf numFmtId="164" fontId="2" fillId="0" borderId="0" xfId="0" applyNumberFormat="1" applyFont="1" applyAlignment="1">
      <alignment horizontal="center" vertical="center"/>
    </xf>
    <xf numFmtId="2" fontId="2" fillId="0" borderId="0" xfId="0" applyNumberFormat="1" applyFont="1" applyFill="1" applyAlignment="1"/>
    <xf numFmtId="3" fontId="2" fillId="0" borderId="0" xfId="0" applyNumberFormat="1" applyFont="1"/>
    <xf numFmtId="3" fontId="2" fillId="0" borderId="0" xfId="0" applyNumberFormat="1" applyFont="1" applyAlignment="1">
      <alignment horizontal="center"/>
    </xf>
    <xf numFmtId="168" fontId="2" fillId="0" borderId="0" xfId="0" quotePrefix="1" applyNumberFormat="1" applyFont="1" applyAlignment="1">
      <alignment horizontal="right"/>
    </xf>
    <xf numFmtId="168" fontId="2" fillId="0" borderId="0" xfId="0" applyNumberFormat="1" applyFont="1" applyFill="1"/>
    <xf numFmtId="0" fontId="4" fillId="0" borderId="0" xfId="0" applyFont="1" applyAlignment="1">
      <alignment horizontal="right"/>
    </xf>
    <xf numFmtId="0" fontId="2" fillId="0" borderId="1" xfId="0" applyFont="1" applyBorder="1"/>
    <xf numFmtId="3" fontId="2" fillId="0" borderId="1" xfId="0" applyNumberFormat="1" applyFont="1" applyBorder="1"/>
    <xf numFmtId="168" fontId="2" fillId="0" borderId="1" xfId="0" applyNumberFormat="1" applyFont="1" applyBorder="1"/>
    <xf numFmtId="0" fontId="2" fillId="0" borderId="0" xfId="3" applyFont="1"/>
    <xf numFmtId="0" fontId="2" fillId="0" borderId="0" xfId="3" quotePrefix="1" applyFont="1" applyAlignment="1">
      <alignment horizontal="center"/>
    </xf>
    <xf numFmtId="0" fontId="2" fillId="0" borderId="0" xfId="3" quotePrefix="1" applyFont="1" applyBorder="1" applyAlignment="1">
      <alignment horizontal="center"/>
    </xf>
    <xf numFmtId="0" fontId="2" fillId="0" borderId="0" xfId="3" applyFont="1" applyAlignment="1">
      <alignment horizontal="right"/>
    </xf>
    <xf numFmtId="0" fontId="4" fillId="0" borderId="0" xfId="3" applyFont="1" applyAlignment="1">
      <alignment horizontal="center"/>
    </xf>
    <xf numFmtId="3" fontId="2" fillId="0" borderId="0" xfId="3" applyNumberFormat="1" applyFont="1"/>
    <xf numFmtId="168" fontId="2" fillId="0" borderId="0" xfId="3" quotePrefix="1" applyNumberFormat="1" applyFont="1" applyAlignment="1">
      <alignment horizontal="right"/>
    </xf>
    <xf numFmtId="168" fontId="2" fillId="0" borderId="0" xfId="3" applyNumberFormat="1" applyFont="1"/>
    <xf numFmtId="3" fontId="2" fillId="0" borderId="0" xfId="3" applyNumberFormat="1" applyFont="1" applyBorder="1"/>
    <xf numFmtId="168" fontId="2" fillId="0" borderId="0" xfId="3" applyNumberFormat="1" applyFont="1" applyBorder="1"/>
    <xf numFmtId="0" fontId="2" fillId="0" borderId="0" xfId="3" applyFont="1" applyFill="1"/>
    <xf numFmtId="168" fontId="2" fillId="0" borderId="0" xfId="3" applyNumberFormat="1" applyFont="1" applyFill="1"/>
    <xf numFmtId="0" fontId="2" fillId="0" borderId="0" xfId="0" applyFont="1" applyAlignment="1" applyProtection="1">
      <alignment horizontal="right"/>
      <protection locked="0" hidden="1"/>
    </xf>
    <xf numFmtId="0" fontId="2" fillId="0" borderId="0" xfId="0" applyFont="1" applyAlignment="1" applyProtection="1">
      <protection locked="0" hidden="1"/>
    </xf>
    <xf numFmtId="0" fontId="4" fillId="0" borderId="0" xfId="0" applyFont="1" applyAlignment="1" applyProtection="1">
      <alignment horizontal="center"/>
      <protection locked="0" hidden="1"/>
    </xf>
    <xf numFmtId="164" fontId="2" fillId="0" borderId="0" xfId="0" quotePrefix="1" applyNumberFormat="1" applyFont="1" applyAlignment="1" applyProtection="1">
      <alignment horizontal="center"/>
      <protection locked="0" hidden="1"/>
    </xf>
    <xf numFmtId="0" fontId="2" fillId="0" borderId="0" xfId="0" applyFont="1" applyAlignment="1" applyProtection="1">
      <alignment horizontal="center"/>
      <protection locked="0" hidden="1"/>
    </xf>
    <xf numFmtId="0" fontId="2" fillId="0" borderId="0" xfId="0" quotePrefix="1" applyFont="1" applyAlignment="1" applyProtection="1">
      <alignment horizontal="right" vertical="top"/>
      <protection locked="0" hidden="1"/>
    </xf>
    <xf numFmtId="164" fontId="2" fillId="0" borderId="0" xfId="0" applyNumberFormat="1" applyFont="1" applyAlignment="1" applyProtection="1">
      <alignment horizontal="center" vertical="top"/>
      <protection locked="0" hidden="1"/>
    </xf>
    <xf numFmtId="0" fontId="2" fillId="0" borderId="0" xfId="0" applyFont="1" applyProtection="1">
      <protection locked="0" hidden="1"/>
    </xf>
    <xf numFmtId="0" fontId="2" fillId="0" borderId="0" xfId="0" quotePrefix="1" applyFont="1" applyAlignment="1" applyProtection="1">
      <alignment horizontal="right"/>
      <protection locked="0" hidden="1"/>
    </xf>
    <xf numFmtId="164" fontId="2" fillId="0" borderId="0" xfId="0" applyNumberFormat="1" applyFont="1" applyAlignment="1" applyProtection="1">
      <alignment horizontal="center"/>
      <protection locked="0" hidden="1"/>
    </xf>
    <xf numFmtId="164" fontId="2" fillId="0" borderId="0" xfId="0" applyNumberFormat="1" applyFont="1" applyAlignment="1" applyProtection="1">
      <alignment horizontal="center" vertical="top" wrapText="1"/>
      <protection locked="0" hidden="1"/>
    </xf>
    <xf numFmtId="8" fontId="2" fillId="0" borderId="0" xfId="0" applyNumberFormat="1" applyFont="1" applyAlignment="1" applyProtection="1">
      <alignment horizontal="center" vertical="top"/>
      <protection locked="0" hidden="1"/>
    </xf>
    <xf numFmtId="164" fontId="2" fillId="0" borderId="0" xfId="1" applyNumberFormat="1" applyFont="1" applyFill="1" applyAlignment="1">
      <alignment horizontal="center"/>
    </xf>
    <xf numFmtId="164" fontId="4" fillId="0" borderId="0" xfId="1" applyNumberFormat="1" applyFont="1" applyFill="1" applyAlignment="1">
      <alignment horizontal="center"/>
    </xf>
    <xf numFmtId="164" fontId="2" fillId="0" borderId="1" xfId="1" applyNumberFormat="1" applyFont="1" applyBorder="1" applyAlignment="1">
      <alignment horizontal="center"/>
    </xf>
    <xf numFmtId="0" fontId="12" fillId="0" borderId="0" xfId="0" applyFont="1"/>
    <xf numFmtId="0" fontId="13" fillId="0" borderId="0" xfId="0" applyFont="1" applyBorder="1" applyAlignment="1">
      <alignment horizontal="center"/>
    </xf>
    <xf numFmtId="0" fontId="12" fillId="0" borderId="0" xfId="0" applyFont="1" applyFill="1"/>
    <xf numFmtId="164" fontId="2" fillId="0" borderId="0" xfId="0" applyNumberFormat="1" applyFont="1" applyFill="1" applyAlignment="1" applyProtection="1">
      <alignment horizontal="center"/>
      <protection locked="0" hidden="1"/>
    </xf>
    <xf numFmtId="164" fontId="12" fillId="0" borderId="0" xfId="0" applyNumberFormat="1" applyFont="1"/>
    <xf numFmtId="0" fontId="2" fillId="0" borderId="0" xfId="0" applyFont="1" applyFill="1" applyBorder="1" applyAlignment="1">
      <alignment horizontal="center"/>
    </xf>
    <xf numFmtId="0" fontId="13" fillId="0" borderId="10" xfId="0" applyFont="1" applyBorder="1" applyAlignment="1">
      <alignment horizontal="center"/>
    </xf>
    <xf numFmtId="168" fontId="12" fillId="0" borderId="12" xfId="4" applyNumberFormat="1" applyFont="1" applyBorder="1" applyAlignment="1">
      <alignment horizontal="center"/>
    </xf>
    <xf numFmtId="168" fontId="12" fillId="0" borderId="14" xfId="4" applyNumberFormat="1" applyFont="1" applyBorder="1" applyAlignment="1">
      <alignment horizontal="center"/>
    </xf>
    <xf numFmtId="1" fontId="2" fillId="0" borderId="0" xfId="1" applyNumberFormat="1" applyFont="1" applyFill="1" applyAlignment="1">
      <alignment horizontal="center"/>
    </xf>
    <xf numFmtId="0" fontId="3" fillId="0" borderId="0" xfId="1" applyFont="1" applyAlignment="1">
      <alignment horizontal="center" wrapText="1"/>
    </xf>
    <xf numFmtId="0" fontId="2" fillId="0" borderId="0" xfId="1" applyFont="1" applyAlignment="1"/>
    <xf numFmtId="0" fontId="2" fillId="0" borderId="0" xfId="1" applyFont="1"/>
    <xf numFmtId="0" fontId="3" fillId="0" borderId="0" xfId="0" applyFont="1" applyAlignment="1">
      <alignment horizontal="center"/>
    </xf>
    <xf numFmtId="0" fontId="2" fillId="0" borderId="0" xfId="0" applyFont="1" applyAlignment="1">
      <alignment horizontal="center"/>
    </xf>
    <xf numFmtId="0" fontId="2" fillId="0" borderId="0" xfId="3" applyFont="1" applyAlignment="1">
      <alignment horizontal="center"/>
    </xf>
    <xf numFmtId="2" fontId="3" fillId="0" borderId="0" xfId="0" applyNumberFormat="1" applyFont="1" applyAlignment="1">
      <alignment horizontal="center"/>
    </xf>
    <xf numFmtId="0" fontId="2" fillId="0" borderId="11" xfId="0" applyFont="1" applyBorder="1" applyAlignment="1">
      <alignment horizontal="center"/>
    </xf>
    <xf numFmtId="0" fontId="2" fillId="0" borderId="13" xfId="0" applyFont="1" applyBorder="1" applyAlignment="1">
      <alignment horizontal="center"/>
    </xf>
    <xf numFmtId="164" fontId="12" fillId="0" borderId="0" xfId="0" applyNumberFormat="1" applyFont="1" applyFill="1"/>
    <xf numFmtId="164" fontId="13" fillId="0" borderId="9" xfId="0" applyNumberFormat="1" applyFont="1" applyBorder="1" applyAlignment="1">
      <alignment horizontal="center"/>
    </xf>
    <xf numFmtId="0" fontId="13" fillId="0" borderId="2" xfId="0" applyFont="1" applyBorder="1" applyAlignment="1">
      <alignment horizontal="center"/>
    </xf>
    <xf numFmtId="168" fontId="12" fillId="0" borderId="0" xfId="0" applyNumberFormat="1" applyFont="1" applyBorder="1" applyAlignment="1">
      <alignment horizontal="center"/>
    </xf>
    <xf numFmtId="0" fontId="2" fillId="0" borderId="11" xfId="0" applyFont="1" applyFill="1" applyBorder="1" applyAlignment="1">
      <alignment horizontal="center"/>
    </xf>
    <xf numFmtId="0" fontId="12" fillId="0" borderId="0" xfId="0" applyFont="1" applyBorder="1" applyAlignment="1"/>
    <xf numFmtId="0" fontId="2" fillId="0" borderId="2" xfId="0" applyFont="1" applyBorder="1"/>
    <xf numFmtId="0" fontId="3" fillId="0" borderId="0" xfId="1" applyFont="1" applyAlignment="1">
      <alignment horizontal="center" wrapText="1"/>
    </xf>
    <xf numFmtId="0" fontId="2" fillId="0" borderId="0" xfId="1" applyFont="1"/>
    <xf numFmtId="166" fontId="2" fillId="0" borderId="0" xfId="1" applyNumberFormat="1" applyFont="1" applyFill="1" applyAlignment="1">
      <alignment horizontal="center"/>
    </xf>
    <xf numFmtId="173" fontId="2" fillId="0" borderId="0" xfId="1" applyNumberFormat="1" applyFont="1" applyFill="1" applyAlignment="1">
      <alignment horizontal="center"/>
    </xf>
    <xf numFmtId="0" fontId="2" fillId="0" borderId="0" xfId="1" applyFont="1"/>
    <xf numFmtId="174" fontId="2" fillId="0" borderId="0" xfId="6" applyNumberFormat="1" applyFont="1" applyFill="1" applyAlignment="1">
      <alignment horizontal="distributed"/>
    </xf>
    <xf numFmtId="3" fontId="2" fillId="0" borderId="0" xfId="0" applyNumberFormat="1" applyFont="1" applyAlignment="1">
      <alignment horizontal="right"/>
    </xf>
    <xf numFmtId="168" fontId="2" fillId="0" borderId="0" xfId="5" applyNumberFormat="1" applyFont="1"/>
    <xf numFmtId="3" fontId="2" fillId="0" borderId="0" xfId="5" applyNumberFormat="1" applyFont="1"/>
    <xf numFmtId="0" fontId="2" fillId="0" borderId="0" xfId="0" applyFont="1" applyAlignment="1">
      <alignment horizontal="right" vertical="top"/>
    </xf>
    <xf numFmtId="165" fontId="2" fillId="0" borderId="0" xfId="0" applyNumberFormat="1" applyFont="1"/>
    <xf numFmtId="0" fontId="15" fillId="0" borderId="0" xfId="0" applyFont="1"/>
    <xf numFmtId="10" fontId="2" fillId="0" borderId="0" xfId="5" applyNumberFormat="1" applyFont="1"/>
    <xf numFmtId="0" fontId="2" fillId="0" borderId="0" xfId="0" quotePrefix="1" applyFont="1" applyAlignment="1">
      <alignment horizontal="right" vertical="top"/>
    </xf>
    <xf numFmtId="0" fontId="0" fillId="0" borderId="0" xfId="0" applyAlignment="1"/>
    <xf numFmtId="0" fontId="2" fillId="0" borderId="0" xfId="0" applyFont="1" applyAlignment="1"/>
    <xf numFmtId="0" fontId="2" fillId="0" borderId="0" xfId="1" applyFont="1" applyAlignment="1"/>
    <xf numFmtId="0" fontId="12" fillId="0" borderId="0" xfId="0" applyFont="1" applyAlignment="1"/>
    <xf numFmtId="0" fontId="2" fillId="0" borderId="0" xfId="1" applyFont="1" applyFill="1" applyAlignment="1">
      <alignment horizontal="left" vertical="top"/>
    </xf>
    <xf numFmtId="0" fontId="16" fillId="0" borderId="0" xfId="0" applyFont="1"/>
    <xf numFmtId="0" fontId="2" fillId="0" borderId="0" xfId="0" applyFont="1" applyAlignment="1">
      <alignment horizontal="center"/>
    </xf>
    <xf numFmtId="164" fontId="2" fillId="0" borderId="0" xfId="0" applyNumberFormat="1" applyFont="1" applyAlignment="1">
      <alignment horizontal="center" vertical="top" wrapText="1"/>
    </xf>
    <xf numFmtId="3" fontId="2" fillId="0" borderId="0" xfId="5" applyNumberFormat="1" applyFont="1" applyFill="1"/>
    <xf numFmtId="0" fontId="3" fillId="0" borderId="0" xfId="1" applyFont="1" applyAlignment="1">
      <alignment horizontal="center" wrapText="1"/>
    </xf>
    <xf numFmtId="0" fontId="2" fillId="0" borderId="0" xfId="0" applyFont="1"/>
    <xf numFmtId="0" fontId="2" fillId="0" borderId="0" xfId="1" applyFont="1"/>
    <xf numFmtId="0" fontId="3" fillId="0" borderId="0" xfId="1" applyFont="1" applyAlignment="1">
      <alignment horizontal="center" wrapText="1"/>
    </xf>
    <xf numFmtId="0" fontId="2" fillId="0" borderId="0" xfId="1" applyFont="1" applyAlignment="1">
      <alignment vertical="top"/>
    </xf>
    <xf numFmtId="0" fontId="2" fillId="0" borderId="0" xfId="0" applyFont="1" applyAlignment="1">
      <alignment horizontal="center"/>
    </xf>
    <xf numFmtId="14" fontId="2" fillId="0" borderId="0" xfId="0" applyNumberFormat="1" applyFont="1" applyAlignment="1">
      <alignment horizontal="center"/>
    </xf>
    <xf numFmtId="0" fontId="12" fillId="0" borderId="0" xfId="0" applyFont="1" applyAlignment="1">
      <alignment horizontal="right"/>
    </xf>
    <xf numFmtId="14" fontId="2" fillId="0" borderId="0" xfId="0" quotePrefix="1" applyNumberFormat="1" applyFont="1" applyAlignment="1">
      <alignment horizontal="center"/>
    </xf>
    <xf numFmtId="0" fontId="12" fillId="0" borderId="0" xfId="0" applyFont="1" applyAlignment="1"/>
    <xf numFmtId="0" fontId="2" fillId="0" borderId="0" xfId="1" applyFont="1" applyFill="1" applyAlignment="1">
      <alignment vertical="top" wrapText="1"/>
    </xf>
    <xf numFmtId="0" fontId="2" fillId="0" borderId="0" xfId="1" applyFont="1" applyFill="1" applyAlignment="1">
      <alignment vertical="justify"/>
    </xf>
    <xf numFmtId="0" fontId="2" fillId="0" borderId="0" xfId="0" applyFont="1"/>
    <xf numFmtId="164" fontId="2" fillId="0" borderId="0" xfId="1" applyNumberFormat="1" applyFont="1" applyBorder="1" applyAlignment="1">
      <alignment horizontal="center"/>
    </xf>
    <xf numFmtId="1" fontId="2" fillId="0" borderId="1" xfId="1" applyNumberFormat="1" applyFont="1" applyFill="1" applyBorder="1" applyAlignment="1">
      <alignment horizontal="center"/>
    </xf>
    <xf numFmtId="0" fontId="12" fillId="0" borderId="0" xfId="0" applyFont="1" applyFill="1" applyAlignment="1">
      <alignment horizontal="right"/>
    </xf>
    <xf numFmtId="0" fontId="4" fillId="0" borderId="0" xfId="0" applyFont="1"/>
    <xf numFmtId="0" fontId="2" fillId="0" borderId="0" xfId="0" applyFont="1"/>
    <xf numFmtId="0" fontId="2" fillId="0" borderId="0" xfId="0" applyFont="1" applyAlignment="1">
      <alignment wrapText="1"/>
    </xf>
    <xf numFmtId="0" fontId="2" fillId="0" borderId="1" xfId="0" applyFont="1" applyBorder="1" applyAlignment="1">
      <alignment horizontal="center"/>
    </xf>
    <xf numFmtId="0" fontId="2" fillId="0" borderId="0" xfId="0" applyFont="1" applyAlignment="1">
      <alignment horizontal="center"/>
    </xf>
    <xf numFmtId="164" fontId="3" fillId="0" borderId="0" xfId="0" applyNumberFormat="1" applyFont="1" applyAlignment="1">
      <alignment horizontal="center"/>
    </xf>
    <xf numFmtId="0" fontId="2" fillId="0" borderId="0" xfId="0" applyFont="1" applyAlignment="1">
      <alignment horizontal="left" vertical="top" wrapText="1"/>
    </xf>
    <xf numFmtId="2" fontId="2" fillId="0" borderId="0" xfId="0" applyNumberFormat="1" applyFont="1" applyFill="1" applyAlignment="1">
      <alignment wrapText="1"/>
    </xf>
    <xf numFmtId="0" fontId="2" fillId="0" borderId="0" xfId="0" applyFont="1" applyAlignment="1" applyProtection="1">
      <alignment horizontal="left" vertical="top" wrapText="1"/>
      <protection locked="0" hidden="1"/>
    </xf>
    <xf numFmtId="0" fontId="0" fillId="0" borderId="0" xfId="0" applyAlignment="1">
      <alignment wrapText="1"/>
    </xf>
    <xf numFmtId="0" fontId="3" fillId="0" borderId="0" xfId="0" applyNumberFormat="1" applyFont="1" applyAlignment="1">
      <alignment horizontal="centerContinuous"/>
    </xf>
    <xf numFmtId="0" fontId="18" fillId="0" borderId="0" xfId="0" applyFont="1" applyBorder="1" applyAlignment="1">
      <alignment horizontal="centerContinuous"/>
    </xf>
    <xf numFmtId="0" fontId="2" fillId="0" borderId="0" xfId="0" applyNumberFormat="1" applyFont="1" applyAlignment="1">
      <alignment horizontal="centerContinuous"/>
    </xf>
    <xf numFmtId="0" fontId="2" fillId="0" borderId="0" xfId="0" applyNumberFormat="1" applyFont="1" applyAlignment="1"/>
    <xf numFmtId="0" fontId="2" fillId="0" borderId="3" xfId="0" applyNumberFormat="1" applyFont="1" applyBorder="1" applyAlignment="1">
      <alignment horizontal="centerContinuous"/>
    </xf>
    <xf numFmtId="0" fontId="2" fillId="0" borderId="3" xfId="0" applyNumberFormat="1" applyFont="1" applyBorder="1" applyAlignment="1">
      <alignment horizontal="center"/>
    </xf>
    <xf numFmtId="0" fontId="2" fillId="0" borderId="0" xfId="0" applyNumberFormat="1" applyFont="1" applyAlignment="1">
      <alignment horizontal="center"/>
    </xf>
    <xf numFmtId="0" fontId="2" fillId="0" borderId="1" xfId="0" applyNumberFormat="1" applyFont="1" applyBorder="1" applyAlignment="1">
      <alignment horizontal="center"/>
    </xf>
    <xf numFmtId="0" fontId="2" fillId="0" borderId="4" xfId="0" applyNumberFormat="1" applyFont="1" applyBorder="1" applyAlignment="1">
      <alignment horizontal="center"/>
    </xf>
    <xf numFmtId="0" fontId="19" fillId="0" borderId="1" xfId="0" applyNumberFormat="1" applyFont="1" applyBorder="1" applyAlignment="1">
      <alignment horizontal="center"/>
    </xf>
    <xf numFmtId="0" fontId="2" fillId="0" borderId="0" xfId="0" applyNumberFormat="1" applyFont="1" applyBorder="1" applyAlignment="1">
      <alignment horizontal="center"/>
    </xf>
    <xf numFmtId="170" fontId="2" fillId="0" borderId="0" xfId="0" applyNumberFormat="1" applyFont="1" applyAlignment="1"/>
    <xf numFmtId="0" fontId="2" fillId="0" borderId="5" xfId="0" applyNumberFormat="1" applyFont="1" applyBorder="1" applyAlignment="1">
      <alignment horizontal="center"/>
    </xf>
    <xf numFmtId="0" fontId="2" fillId="0" borderId="6" xfId="0" applyNumberFormat="1" applyFont="1" applyBorder="1" applyAlignment="1">
      <alignment horizontal="center"/>
    </xf>
    <xf numFmtId="0" fontId="2" fillId="0" borderId="7" xfId="0" applyNumberFormat="1" applyFont="1" applyBorder="1" applyAlignment="1">
      <alignment horizontal="center"/>
    </xf>
    <xf numFmtId="164" fontId="2" fillId="0" borderId="0" xfId="0" applyNumberFormat="1" applyFont="1" applyAlignment="1"/>
    <xf numFmtId="0" fontId="3" fillId="0" borderId="0" xfId="0" applyNumberFormat="1" applyFont="1" applyAlignment="1"/>
    <xf numFmtId="171" fontId="2" fillId="0" borderId="0" xfId="0" applyNumberFormat="1" applyFont="1" applyAlignment="1">
      <alignment horizontal="centerContinuous"/>
    </xf>
    <xf numFmtId="164" fontId="7" fillId="0" borderId="0" xfId="0" applyNumberFormat="1" applyFont="1" applyAlignment="1">
      <alignment horizontal="right"/>
    </xf>
    <xf numFmtId="172" fontId="2" fillId="0" borderId="0" xfId="0" applyNumberFormat="1" applyFont="1" applyAlignment="1"/>
    <xf numFmtId="0" fontId="2" fillId="0" borderId="0" xfId="0" applyFont="1" applyAlignment="1">
      <alignment horizontal="right" vertical="center" readingOrder="1"/>
    </xf>
    <xf numFmtId="0" fontId="2" fillId="0" borderId="0" xfId="0" applyFont="1"/>
    <xf numFmtId="0" fontId="2" fillId="0" borderId="0" xfId="1" applyFont="1"/>
    <xf numFmtId="0" fontId="2" fillId="0" borderId="0" xfId="0" applyFont="1" applyAlignment="1">
      <alignment horizontal="center"/>
    </xf>
    <xf numFmtId="0" fontId="2" fillId="0" borderId="0" xfId="0" applyFont="1" applyFill="1" applyBorder="1"/>
    <xf numFmtId="168" fontId="2" fillId="0" borderId="0" xfId="5" applyNumberFormat="1" applyFont="1" applyFill="1" applyBorder="1"/>
    <xf numFmtId="168" fontId="11" fillId="0" borderId="0" xfId="5" applyNumberFormat="1" applyFont="1" applyFill="1" applyBorder="1"/>
    <xf numFmtId="168" fontId="2" fillId="0" borderId="12" xfId="4" applyNumberFormat="1" applyFont="1" applyFill="1" applyBorder="1" applyAlignment="1">
      <alignment horizontal="center" vertical="center"/>
    </xf>
    <xf numFmtId="0" fontId="0" fillId="0" borderId="0" xfId="0" applyAlignment="1"/>
    <xf numFmtId="164" fontId="2" fillId="0" borderId="0" xfId="0" applyNumberFormat="1" applyFont="1" applyFill="1" applyAlignment="1">
      <alignment horizontal="right"/>
    </xf>
    <xf numFmtId="0" fontId="3" fillId="0" borderId="0" xfId="0" applyFont="1" applyFill="1" applyAlignment="1">
      <alignment horizontal="centerContinuous"/>
    </xf>
    <xf numFmtId="0" fontId="2" fillId="0" borderId="0" xfId="0" applyFont="1" applyFill="1" applyAlignment="1">
      <alignment horizontal="left"/>
    </xf>
    <xf numFmtId="3" fontId="2" fillId="0" borderId="0" xfId="0" applyNumberFormat="1" applyFont="1" applyFill="1"/>
    <xf numFmtId="0" fontId="2" fillId="0" borderId="0" xfId="0" applyFont="1" applyFill="1" applyAlignment="1">
      <alignment horizontal="left" vertical="top"/>
    </xf>
    <xf numFmtId="0" fontId="3" fillId="0" borderId="0" xfId="1" applyFont="1" applyAlignment="1">
      <alignment horizontal="center" wrapText="1"/>
    </xf>
    <xf numFmtId="0" fontId="3" fillId="0" borderId="0" xfId="1" applyFont="1" applyFill="1" applyAlignment="1">
      <alignment horizontal="center" wrapText="1"/>
    </xf>
    <xf numFmtId="0" fontId="12" fillId="0" borderId="0" xfId="0" applyFont="1" applyAlignment="1"/>
    <xf numFmtId="0" fontId="2" fillId="0" borderId="0" xfId="1" applyFont="1"/>
    <xf numFmtId="0" fontId="2" fillId="0" borderId="0" xfId="0" applyFont="1" applyFill="1" applyAlignment="1">
      <alignment vertical="top" wrapText="1"/>
    </xf>
    <xf numFmtId="0" fontId="4" fillId="0" borderId="0" xfId="1" applyFont="1" applyFill="1" applyAlignment="1">
      <alignment horizontal="left" indent="3"/>
    </xf>
    <xf numFmtId="0" fontId="2" fillId="0" borderId="0" xfId="1" applyFont="1"/>
    <xf numFmtId="0" fontId="2" fillId="0" borderId="0" xfId="0" applyFont="1"/>
    <xf numFmtId="0" fontId="2" fillId="0" borderId="0" xfId="0" applyFont="1" applyAlignment="1">
      <alignment horizontal="center"/>
    </xf>
    <xf numFmtId="0" fontId="9" fillId="0" borderId="0" xfId="0" applyFont="1" applyAlignment="1">
      <alignment horizontal="left"/>
    </xf>
    <xf numFmtId="1" fontId="2" fillId="0" borderId="0" xfId="1" applyNumberFormat="1" applyFont="1" applyFill="1" applyBorder="1" applyAlignment="1">
      <alignment horizontal="center"/>
    </xf>
    <xf numFmtId="0" fontId="2" fillId="0" borderId="0" xfId="0" applyFont="1"/>
    <xf numFmtId="0" fontId="2" fillId="0" borderId="0" xfId="0" applyFont="1" applyAlignment="1">
      <alignment horizontal="center"/>
    </xf>
    <xf numFmtId="0" fontId="2" fillId="0" borderId="0" xfId="1" applyFont="1" applyFill="1" applyAlignment="1">
      <alignment vertical="top" wrapText="1"/>
    </xf>
    <xf numFmtId="0" fontId="2" fillId="0" borderId="0" xfId="1" applyFont="1" applyFill="1" applyAlignment="1">
      <alignment horizontal="left" vertical="top" wrapText="1"/>
    </xf>
    <xf numFmtId="0" fontId="17" fillId="0" borderId="0" xfId="0" applyFont="1" applyAlignment="1">
      <alignment vertical="justify"/>
    </xf>
    <xf numFmtId="0" fontId="2" fillId="0" borderId="0" xfId="0" applyFont="1"/>
    <xf numFmtId="0" fontId="2" fillId="0" borderId="0" xfId="1" applyFont="1"/>
    <xf numFmtId="0" fontId="2" fillId="0" borderId="0" xfId="0" applyFont="1" applyAlignment="1">
      <alignment horizontal="center"/>
    </xf>
    <xf numFmtId="0" fontId="2" fillId="0" borderId="0" xfId="0" applyFont="1"/>
    <xf numFmtId="0" fontId="2" fillId="0" borderId="0" xfId="0" applyFont="1" applyAlignment="1">
      <alignment horizontal="center"/>
    </xf>
    <xf numFmtId="0" fontId="2" fillId="0" borderId="1" xfId="0" applyFont="1" applyFill="1" applyBorder="1" applyAlignment="1">
      <alignment horizontal="center"/>
    </xf>
    <xf numFmtId="164" fontId="3" fillId="0" borderId="0" xfId="0" applyNumberFormat="1" applyFont="1" applyFill="1" applyAlignment="1">
      <alignment horizontal="centerContinuous"/>
    </xf>
    <xf numFmtId="0" fontId="3" fillId="0" borderId="0" xfId="1" applyFont="1" applyAlignment="1">
      <alignment horizontal="centerContinuous" wrapText="1"/>
    </xf>
    <xf numFmtId="0" fontId="12" fillId="0" borderId="0" xfId="0" applyFont="1" applyAlignment="1">
      <alignment horizontal="centerContinuous"/>
    </xf>
    <xf numFmtId="0" fontId="12" fillId="0" borderId="0" xfId="0" applyFont="1" applyBorder="1" applyAlignment="1">
      <alignment horizontal="centerContinuous"/>
    </xf>
    <xf numFmtId="0" fontId="3" fillId="0" borderId="0" xfId="1" applyFont="1" applyFill="1" applyAlignment="1">
      <alignment horizontal="centerContinuous" wrapText="1"/>
    </xf>
    <xf numFmtId="0" fontId="17" fillId="0" borderId="0" xfId="0" applyFont="1" applyAlignment="1">
      <alignment horizontal="centerContinuous" wrapText="1"/>
    </xf>
    <xf numFmtId="0" fontId="3" fillId="0" borderId="0" xfId="0" applyFont="1" applyAlignment="1">
      <alignment horizontal="centerContinuous"/>
    </xf>
    <xf numFmtId="0" fontId="2" fillId="0" borderId="1" xfId="1" applyFont="1" applyFill="1" applyBorder="1" applyAlignment="1">
      <alignment horizontal="centerContinuous"/>
    </xf>
    <xf numFmtId="0" fontId="17" fillId="0" borderId="1" xfId="0" applyFont="1" applyBorder="1" applyAlignment="1">
      <alignment horizontal="centerContinuous"/>
    </xf>
    <xf numFmtId="0" fontId="2" fillId="0" borderId="0" xfId="1" applyFont="1" applyFill="1" applyBorder="1" applyAlignment="1">
      <alignment horizontal="centerContinuous"/>
    </xf>
    <xf numFmtId="0" fontId="0" fillId="0" borderId="0" xfId="0" applyAlignment="1">
      <alignment horizontal="left" vertical="top"/>
    </xf>
    <xf numFmtId="165" fontId="9" fillId="0" borderId="0" xfId="1" applyNumberFormat="1" applyFont="1" applyFill="1" applyAlignment="1">
      <alignment horizontal="center"/>
    </xf>
    <xf numFmtId="164" fontId="2" fillId="0" borderId="0" xfId="0" quotePrefix="1" applyNumberFormat="1" applyFont="1" applyFill="1" applyAlignment="1">
      <alignment horizontal="center"/>
    </xf>
    <xf numFmtId="0" fontId="2" fillId="0" borderId="0" xfId="0" applyFont="1" applyAlignment="1">
      <alignment horizontal="center"/>
    </xf>
    <xf numFmtId="164" fontId="9" fillId="0" borderId="0" xfId="0" applyNumberFormat="1" applyFont="1" applyFill="1" applyAlignment="1">
      <alignment horizontal="center"/>
    </xf>
    <xf numFmtId="168" fontId="11" fillId="0" borderId="0" xfId="0" applyNumberFormat="1" applyFont="1" applyFill="1"/>
    <xf numFmtId="0" fontId="4" fillId="0" borderId="0" xfId="0" applyFont="1" applyFill="1" applyBorder="1" applyAlignment="1">
      <alignment horizontal="center"/>
    </xf>
    <xf numFmtId="168" fontId="2" fillId="0" borderId="0" xfId="0" applyNumberFormat="1" applyFont="1" applyFill="1" applyAlignment="1">
      <alignment horizontal="right" indent="3"/>
    </xf>
    <xf numFmtId="0" fontId="2" fillId="0" borderId="0" xfId="0" applyFont="1" applyFill="1" applyAlignment="1">
      <alignment horizontal="right" indent="3"/>
    </xf>
    <xf numFmtId="168" fontId="2" fillId="0" borderId="0" xfId="0" applyNumberFormat="1" applyFont="1" applyFill="1" applyBorder="1" applyAlignment="1">
      <alignment horizontal="right" indent="3"/>
    </xf>
    <xf numFmtId="0" fontId="2" fillId="0" borderId="0" xfId="0" applyFont="1" applyFill="1" applyBorder="1" applyAlignment="1">
      <alignment horizontal="right" indent="3"/>
    </xf>
    <xf numFmtId="0" fontId="2" fillId="0" borderId="0" xfId="0" quotePrefix="1" applyFont="1" applyFill="1" applyAlignment="1">
      <alignment horizontal="center" vertical="top" wrapText="1"/>
    </xf>
    <xf numFmtId="0" fontId="2" fillId="0" borderId="0" xfId="0" applyFont="1" applyFill="1" applyBorder="1" applyAlignment="1">
      <alignment horizontal="left"/>
    </xf>
    <xf numFmtId="164" fontId="11" fillId="0" borderId="0" xfId="0" applyNumberFormat="1" applyFont="1" applyFill="1" applyAlignment="1">
      <alignment horizontal="center"/>
    </xf>
    <xf numFmtId="0" fontId="2" fillId="0" borderId="0" xfId="0" applyFont="1" applyFill="1" applyAlignment="1">
      <alignment vertical="top"/>
    </xf>
    <xf numFmtId="168" fontId="2" fillId="0" borderId="0" xfId="0" applyNumberFormat="1" applyFont="1" applyFill="1" applyAlignment="1">
      <alignment horizontal="center"/>
    </xf>
    <xf numFmtId="168" fontId="2" fillId="0" borderId="0" xfId="0" applyNumberFormat="1" applyFont="1" applyFill="1" applyAlignment="1">
      <alignment horizontal="right"/>
    </xf>
    <xf numFmtId="0" fontId="9" fillId="0" borderId="0" xfId="0" applyFont="1" applyFill="1"/>
    <xf numFmtId="3" fontId="21" fillId="0" borderId="0" xfId="0" applyNumberFormat="1" applyFont="1"/>
    <xf numFmtId="164" fontId="21" fillId="0" borderId="0" xfId="0" applyNumberFormat="1" applyFont="1" applyFill="1" applyAlignment="1">
      <alignment horizontal="center"/>
    </xf>
    <xf numFmtId="3" fontId="2" fillId="0" borderId="0" xfId="3" applyNumberFormat="1" applyFont="1" applyFill="1"/>
    <xf numFmtId="164" fontId="9" fillId="0" borderId="0" xfId="0" applyNumberFormat="1" applyFont="1" applyFill="1" applyBorder="1" applyAlignment="1">
      <alignment horizontal="center"/>
    </xf>
    <xf numFmtId="1" fontId="2" fillId="0" borderId="0" xfId="0" applyNumberFormat="1" applyFont="1"/>
    <xf numFmtId="10" fontId="2" fillId="0" borderId="0" xfId="4" applyNumberFormat="1" applyFont="1"/>
    <xf numFmtId="0" fontId="3" fillId="0" borderId="0" xfId="3" applyFont="1" applyAlignment="1">
      <alignment horizontal="centerContinuous"/>
    </xf>
    <xf numFmtId="0" fontId="2" fillId="0" borderId="0" xfId="3" applyFont="1" applyAlignment="1">
      <alignment horizontal="centerContinuous"/>
    </xf>
    <xf numFmtId="2" fontId="3" fillId="0" borderId="0" xfId="0" applyNumberFormat="1" applyFont="1" applyAlignment="1">
      <alignment horizontal="centerContinuous"/>
    </xf>
    <xf numFmtId="0" fontId="3" fillId="0" borderId="0" xfId="0" applyFont="1" applyAlignment="1" applyProtection="1">
      <alignment horizontal="centerContinuous"/>
      <protection locked="0" hidden="1"/>
    </xf>
    <xf numFmtId="9" fontId="3" fillId="0" borderId="0" xfId="5" applyFont="1" applyAlignment="1" applyProtection="1">
      <alignment horizontal="centerContinuous"/>
      <protection locked="0" hidden="1"/>
    </xf>
    <xf numFmtId="164" fontId="3" fillId="0" borderId="0" xfId="1" applyNumberFormat="1" applyFont="1" applyFill="1" applyAlignment="1">
      <alignment horizontal="centerContinuous"/>
    </xf>
    <xf numFmtId="0" fontId="2" fillId="0" borderId="0" xfId="1" applyFont="1" applyFill="1" applyAlignment="1">
      <alignment vertical="top" wrapText="1"/>
    </xf>
    <xf numFmtId="0" fontId="17" fillId="0" borderId="0" xfId="0" applyFont="1" applyAlignment="1">
      <alignment vertical="top"/>
    </xf>
    <xf numFmtId="0" fontId="2" fillId="0" borderId="0" xfId="1" applyFont="1" applyFill="1" applyAlignment="1">
      <alignment wrapText="1"/>
    </xf>
    <xf numFmtId="0" fontId="17" fillId="0" borderId="0" xfId="0" applyFont="1" applyAlignment="1"/>
    <xf numFmtId="0" fontId="17" fillId="0" borderId="0" xfId="0" applyFont="1" applyAlignment="1">
      <alignment vertical="justify"/>
    </xf>
    <xf numFmtId="0" fontId="2" fillId="0" borderId="0" xfId="0" applyFont="1"/>
    <xf numFmtId="0" fontId="3" fillId="0" borderId="0" xfId="1" applyFont="1" applyAlignment="1">
      <alignment horizontal="center" wrapText="1"/>
    </xf>
    <xf numFmtId="0" fontId="2" fillId="0" borderId="0" xfId="1" applyFont="1"/>
    <xf numFmtId="0" fontId="2" fillId="0" borderId="0" xfId="0" applyFont="1" applyBorder="1" applyAlignment="1">
      <alignment horizontal="center"/>
    </xf>
    <xf numFmtId="168" fontId="11" fillId="0" borderId="0" xfId="5" applyNumberFormat="1" applyFont="1" applyFill="1" applyAlignment="1">
      <alignment horizontal="center" vertical="top" wrapText="1"/>
    </xf>
    <xf numFmtId="168" fontId="11" fillId="0" borderId="0" xfId="3" applyNumberFormat="1" applyFont="1" applyFill="1" applyAlignment="1">
      <alignment horizontal="right"/>
    </xf>
    <xf numFmtId="0" fontId="2" fillId="0" borderId="0" xfId="0" applyFont="1"/>
    <xf numFmtId="0" fontId="2" fillId="0" borderId="0" xfId="3" applyFont="1" applyAlignment="1">
      <alignment vertical="top" wrapText="1"/>
    </xf>
    <xf numFmtId="0" fontId="2" fillId="0" borderId="0" xfId="3" applyFont="1" applyAlignment="1"/>
    <xf numFmtId="0" fontId="2" fillId="0" borderId="0" xfId="3" applyFont="1" applyAlignment="1">
      <alignment vertical="top"/>
    </xf>
    <xf numFmtId="0" fontId="2" fillId="0" borderId="0" xfId="0" applyFont="1"/>
    <xf numFmtId="0" fontId="2" fillId="0" borderId="0" xfId="0" applyFont="1"/>
    <xf numFmtId="164" fontId="11" fillId="0" borderId="1" xfId="0" applyNumberFormat="1" applyFont="1" applyFill="1" applyBorder="1"/>
    <xf numFmtId="0" fontId="20" fillId="0" borderId="0" xfId="0" applyNumberFormat="1" applyFont="1" applyAlignment="1">
      <alignment horizontal="centerContinuous"/>
    </xf>
    <xf numFmtId="165" fontId="2" fillId="0" borderId="0" xfId="1" quotePrefix="1" applyNumberFormat="1" applyFont="1" applyFill="1" applyAlignment="1">
      <alignment horizontal="center"/>
    </xf>
    <xf numFmtId="0" fontId="3" fillId="0" borderId="0" xfId="0" applyFont="1" applyAlignment="1">
      <alignment horizontal="center"/>
    </xf>
    <xf numFmtId="0" fontId="2" fillId="0" borderId="0" xfId="0" applyFont="1" applyBorder="1" applyAlignment="1">
      <alignment horizontal="center"/>
    </xf>
    <xf numFmtId="10" fontId="12" fillId="0" borderId="0" xfId="0" applyNumberFormat="1" applyFont="1" applyBorder="1" applyAlignment="1">
      <alignment horizontal="center"/>
    </xf>
    <xf numFmtId="9" fontId="20" fillId="0" borderId="0" xfId="5" applyFont="1" applyAlignment="1" applyProtection="1">
      <alignment horizontal="centerContinuous"/>
      <protection locked="0" hidden="1"/>
    </xf>
    <xf numFmtId="0" fontId="2" fillId="0" borderId="0" xfId="1" applyFont="1" applyFill="1" applyAlignment="1">
      <alignment vertical="top" wrapText="1"/>
    </xf>
    <xf numFmtId="0" fontId="17" fillId="0" borderId="0" xfId="0" applyFont="1" applyAlignment="1">
      <alignment vertical="top"/>
    </xf>
    <xf numFmtId="0" fontId="2" fillId="0" borderId="0" xfId="1" applyFont="1" applyFill="1" applyAlignment="1">
      <alignment horizontal="left" vertical="top" wrapText="1"/>
    </xf>
    <xf numFmtId="0" fontId="17" fillId="0" borderId="0" xfId="0" applyFont="1" applyAlignment="1">
      <alignment vertical="justify"/>
    </xf>
    <xf numFmtId="0" fontId="2" fillId="0" borderId="0" xfId="0" applyFont="1"/>
    <xf numFmtId="0" fontId="2" fillId="0" borderId="0" xfId="1" applyFont="1"/>
    <xf numFmtId="0" fontId="2" fillId="0" borderId="0" xfId="1" applyFont="1" applyFill="1" applyAlignment="1">
      <alignment vertical="top"/>
    </xf>
    <xf numFmtId="0" fontId="0" fillId="0" borderId="0" xfId="0" applyAlignment="1">
      <alignment vertical="top"/>
    </xf>
    <xf numFmtId="165" fontId="2" fillId="0" borderId="0" xfId="1" applyNumberFormat="1" applyFont="1" applyAlignment="1"/>
    <xf numFmtId="0" fontId="2" fillId="0" borderId="0" xfId="1" applyFont="1" applyFill="1" applyAlignment="1">
      <alignment horizontal="left" vertical="justify"/>
    </xf>
    <xf numFmtId="0" fontId="4" fillId="0" borderId="0" xfId="0" applyFont="1" applyAlignment="1">
      <alignment horizontal="left"/>
    </xf>
    <xf numFmtId="0" fontId="4" fillId="0" borderId="0" xfId="0" applyFont="1" applyAlignment="1">
      <alignment wrapText="1"/>
    </xf>
    <xf numFmtId="0" fontId="2" fillId="0" borderId="0" xfId="0" applyFont="1" applyAlignment="1">
      <alignment horizontal="left" vertical="top" wrapText="1"/>
    </xf>
    <xf numFmtId="0" fontId="17" fillId="0" borderId="0" xfId="0" applyFont="1" applyAlignment="1">
      <alignment horizontal="left" vertical="top" wrapText="1"/>
    </xf>
    <xf numFmtId="0" fontId="2" fillId="0" borderId="0" xfId="0" applyFont="1" applyAlignment="1" applyProtection="1">
      <alignment horizontal="left" vertical="top" wrapText="1"/>
      <protection locked="0" hidden="1"/>
    </xf>
    <xf numFmtId="164" fontId="13" fillId="0" borderId="9" xfId="0" applyNumberFormat="1" applyFont="1" applyFill="1" applyBorder="1" applyAlignment="1">
      <alignment horizontal="center"/>
    </xf>
    <xf numFmtId="0" fontId="13" fillId="0" borderId="2" xfId="0" applyFont="1" applyFill="1" applyBorder="1" applyAlignment="1">
      <alignment horizontal="center"/>
    </xf>
    <xf numFmtId="0" fontId="13" fillId="0" borderId="10" xfId="0" applyFont="1" applyFill="1" applyBorder="1" applyAlignment="1">
      <alignment horizontal="center"/>
    </xf>
    <xf numFmtId="168" fontId="12" fillId="0" borderId="12" xfId="4" applyNumberFormat="1" applyFont="1" applyFill="1" applyBorder="1" applyAlignment="1">
      <alignment horizontal="center"/>
    </xf>
    <xf numFmtId="0" fontId="2" fillId="0" borderId="13" xfId="0" applyFont="1" applyFill="1" applyBorder="1" applyAlignment="1">
      <alignment horizontal="center"/>
    </xf>
    <xf numFmtId="168" fontId="12" fillId="0" borderId="14" xfId="4" applyNumberFormat="1" applyFont="1" applyFill="1" applyBorder="1" applyAlignment="1">
      <alignment horizontal="center"/>
    </xf>
    <xf numFmtId="168" fontId="11" fillId="0" borderId="0" xfId="3" applyNumberFormat="1" applyFont="1" applyFill="1"/>
    <xf numFmtId="167" fontId="2" fillId="0" borderId="0" xfId="0" applyNumberFormat="1" applyFont="1" applyFill="1"/>
    <xf numFmtId="2" fontId="2" fillId="0" borderId="0" xfId="0" applyNumberFormat="1" applyFont="1" applyFill="1"/>
    <xf numFmtId="14" fontId="9" fillId="0" borderId="0" xfId="0" quotePrefix="1" applyNumberFormat="1" applyFont="1" applyFill="1" applyAlignment="1">
      <alignment horizontal="center"/>
    </xf>
    <xf numFmtId="0" fontId="12" fillId="0" borderId="0" xfId="0" applyFont="1" applyFill="1" applyAlignment="1">
      <alignment horizontal="centerContinuous"/>
    </xf>
    <xf numFmtId="0" fontId="2" fillId="0" borderId="0" xfId="0" applyFont="1" applyFill="1" applyAlignment="1">
      <alignment horizontal="center" wrapText="1"/>
    </xf>
    <xf numFmtId="0" fontId="4" fillId="0" borderId="0" xfId="0" applyFont="1" applyFill="1" applyAlignment="1">
      <alignment horizontal="center" wrapText="1"/>
    </xf>
    <xf numFmtId="164" fontId="7" fillId="0" borderId="0" xfId="0" applyNumberFormat="1" applyFont="1" applyFill="1" applyAlignment="1">
      <alignment horizontal="center"/>
    </xf>
    <xf numFmtId="0" fontId="2" fillId="0" borderId="0" xfId="0" applyFont="1" applyFill="1" applyAlignment="1">
      <alignment horizontal="justify" vertical="justify"/>
    </xf>
    <xf numFmtId="0" fontId="3" fillId="0" borderId="0" xfId="1" applyFont="1" applyFill="1" applyAlignment="1">
      <alignment horizontal="centerContinuous"/>
    </xf>
    <xf numFmtId="0" fontId="6" fillId="0" borderId="0" xfId="1" applyFont="1" applyFill="1" applyAlignment="1">
      <alignment horizontal="center"/>
    </xf>
    <xf numFmtId="0" fontId="17" fillId="0" borderId="0" xfId="0" applyFont="1" applyFill="1" applyAlignment="1"/>
    <xf numFmtId="0" fontId="12" fillId="0" borderId="0" xfId="0" applyFont="1" applyFill="1" applyAlignment="1">
      <alignment wrapText="1"/>
    </xf>
    <xf numFmtId="0" fontId="2" fillId="0" borderId="0" xfId="0" applyFont="1" applyFill="1" applyAlignment="1">
      <alignment horizontal="right"/>
    </xf>
    <xf numFmtId="175" fontId="21" fillId="0" borderId="0" xfId="6" applyNumberFormat="1" applyFont="1" applyFill="1"/>
    <xf numFmtId="0" fontId="2" fillId="0" borderId="0" xfId="1" applyFont="1" applyFill="1" applyAlignment="1"/>
    <xf numFmtId="0" fontId="17" fillId="0" borderId="0" xfId="0" applyFont="1" applyFill="1" applyAlignment="1">
      <alignment vertical="top"/>
    </xf>
    <xf numFmtId="0" fontId="12" fillId="0" borderId="0" xfId="0" applyFont="1" applyFill="1" applyAlignment="1">
      <alignment horizontal="left"/>
    </xf>
    <xf numFmtId="0" fontId="2" fillId="0" borderId="0" xfId="0" applyFont="1"/>
    <xf numFmtId="0" fontId="4" fillId="0" borderId="0" xfId="0" applyFont="1"/>
    <xf numFmtId="0" fontId="2" fillId="0" borderId="0" xfId="0" applyFont="1"/>
    <xf numFmtId="0" fontId="4" fillId="0" borderId="0" xfId="0" applyFont="1"/>
    <xf numFmtId="0" fontId="2" fillId="0" borderId="1" xfId="0" applyFont="1" applyBorder="1" applyAlignment="1">
      <alignment horizontal="centerContinuous"/>
    </xf>
    <xf numFmtId="174" fontId="21" fillId="0" borderId="0" xfId="6" applyNumberFormat="1" applyFont="1" applyFill="1" applyAlignment="1">
      <alignment horizontal="distributed"/>
    </xf>
    <xf numFmtId="168" fontId="21" fillId="0" borderId="0" xfId="4" applyNumberFormat="1" applyFont="1"/>
    <xf numFmtId="0" fontId="1" fillId="0" borderId="0" xfId="0" applyFont="1"/>
    <xf numFmtId="0" fontId="1" fillId="0" borderId="1" xfId="0" applyFont="1" applyBorder="1" applyAlignment="1">
      <alignment horizontal="centerContinuous"/>
    </xf>
    <xf numFmtId="0" fontId="1" fillId="0" borderId="0" xfId="0" applyFont="1" applyAlignment="1">
      <alignment horizontal="right"/>
    </xf>
    <xf numFmtId="43" fontId="21" fillId="0" borderId="0" xfId="6" applyNumberFormat="1" applyFont="1"/>
    <xf numFmtId="0" fontId="9" fillId="0" borderId="0" xfId="0" applyFont="1" applyAlignment="1">
      <alignment horizontal="right"/>
    </xf>
    <xf numFmtId="0" fontId="2" fillId="0" borderId="0" xfId="0" applyFont="1"/>
    <xf numFmtId="0" fontId="2" fillId="0" borderId="0" xfId="0" applyFont="1"/>
    <xf numFmtId="0" fontId="12" fillId="0" borderId="0" xfId="0" applyFont="1" applyFill="1" applyBorder="1" applyAlignment="1">
      <alignment horizontal="center"/>
    </xf>
    <xf numFmtId="0" fontId="2" fillId="0" borderId="0" xfId="0" applyFont="1" applyFill="1" applyAlignment="1">
      <alignment vertical="top" wrapText="1"/>
    </xf>
    <xf numFmtId="0" fontId="2" fillId="0" borderId="2" xfId="0" applyFont="1" applyFill="1" applyBorder="1" applyAlignment="1">
      <alignment horizontal="center"/>
    </xf>
    <xf numFmtId="0" fontId="2" fillId="0" borderId="0" xfId="0" applyFont="1" applyAlignment="1">
      <alignment horizontal="left" vertical="top" wrapText="1"/>
    </xf>
    <xf numFmtId="0" fontId="2" fillId="0" borderId="1" xfId="0" applyFont="1" applyBorder="1" applyAlignment="1">
      <alignment horizontal="center"/>
    </xf>
    <xf numFmtId="0" fontId="2" fillId="0" borderId="0" xfId="0" applyFont="1"/>
    <xf numFmtId="0" fontId="2" fillId="0" borderId="0" xfId="0" applyFont="1" applyFill="1" applyBorder="1" applyAlignment="1">
      <alignment horizontal="center"/>
    </xf>
    <xf numFmtId="0" fontId="22" fillId="0" borderId="0" xfId="1" applyFont="1" applyAlignment="1">
      <alignment horizontal="center"/>
    </xf>
    <xf numFmtId="165" fontId="11" fillId="0" borderId="0" xfId="1" applyNumberFormat="1" applyFont="1" applyAlignment="1">
      <alignment horizontal="center"/>
    </xf>
    <xf numFmtId="3" fontId="11" fillId="0" borderId="0" xfId="0" applyNumberFormat="1" applyFont="1"/>
    <xf numFmtId="164" fontId="11" fillId="0" borderId="0" xfId="0" applyNumberFormat="1" applyFont="1"/>
    <xf numFmtId="165" fontId="11" fillId="0" borderId="0" xfId="0" applyNumberFormat="1" applyFont="1"/>
    <xf numFmtId="3" fontId="11" fillId="0" borderId="0" xfId="1" applyNumberFormat="1" applyFont="1" applyFill="1" applyAlignment="1"/>
    <xf numFmtId="3" fontId="11" fillId="0" borderId="0" xfId="1" applyNumberFormat="1" applyFont="1"/>
    <xf numFmtId="3" fontId="11" fillId="0" borderId="1" xfId="1" applyNumberFormat="1" applyFont="1" applyFill="1" applyBorder="1" applyAlignment="1"/>
    <xf numFmtId="3" fontId="11" fillId="0" borderId="1" xfId="1" applyNumberFormat="1" applyFont="1" applyBorder="1"/>
    <xf numFmtId="3" fontId="11" fillId="0" borderId="1" xfId="1" applyNumberFormat="1" applyFont="1" applyBorder="1" applyAlignment="1"/>
    <xf numFmtId="3" fontId="11" fillId="0" borderId="0" xfId="1" applyNumberFormat="1" applyFont="1" applyFill="1" applyBorder="1" applyAlignment="1"/>
    <xf numFmtId="3" fontId="11" fillId="0" borderId="0" xfId="1" applyNumberFormat="1" applyFont="1" applyBorder="1" applyAlignment="1"/>
    <xf numFmtId="3" fontId="11" fillId="0" borderId="0" xfId="1" applyNumberFormat="1" applyFont="1" applyAlignment="1"/>
    <xf numFmtId="165" fontId="2" fillId="0" borderId="0" xfId="1" applyNumberFormat="1" applyAlignment="1">
      <alignment horizontal="center"/>
    </xf>
    <xf numFmtId="0" fontId="11" fillId="0" borderId="0" xfId="0" applyFont="1"/>
    <xf numFmtId="164" fontId="11" fillId="0" borderId="0" xfId="4" applyNumberFormat="1" applyFont="1" applyFill="1"/>
    <xf numFmtId="164" fontId="11" fillId="0" borderId="0" xfId="0" applyNumberFormat="1" applyFont="1" applyFill="1" applyBorder="1" applyAlignment="1">
      <alignment horizontal="center"/>
    </xf>
    <xf numFmtId="164" fontId="11" fillId="0" borderId="1" xfId="0" applyNumberFormat="1" applyFont="1" applyFill="1" applyBorder="1" applyAlignment="1">
      <alignment horizontal="center"/>
    </xf>
    <xf numFmtId="0" fontId="11" fillId="0" borderId="0" xfId="0" applyFont="1" applyFill="1" applyAlignment="1">
      <alignment horizontal="center"/>
    </xf>
    <xf numFmtId="167" fontId="11" fillId="0" borderId="0" xfId="0" applyNumberFormat="1" applyFont="1" applyBorder="1" applyAlignment="1">
      <alignment horizontal="center"/>
    </xf>
    <xf numFmtId="167" fontId="11" fillId="0" borderId="0" xfId="0" applyNumberFormat="1" applyFont="1" applyAlignment="1">
      <alignment horizontal="right"/>
    </xf>
    <xf numFmtId="167" fontId="11" fillId="0" borderId="0" xfId="0" quotePrefix="1" applyNumberFormat="1" applyFont="1" applyAlignment="1">
      <alignment horizontal="right"/>
    </xf>
    <xf numFmtId="167" fontId="11" fillId="0" borderId="0" xfId="0" applyNumberFormat="1" applyFont="1" applyFill="1" applyAlignment="1">
      <alignment horizontal="right"/>
    </xf>
    <xf numFmtId="164" fontId="9" fillId="0" borderId="0" xfId="0" applyNumberFormat="1" applyFont="1" applyAlignment="1">
      <alignment horizontal="center"/>
    </xf>
    <xf numFmtId="0" fontId="4" fillId="0" borderId="9" xfId="0" quotePrefix="1" applyFont="1" applyBorder="1" applyAlignment="1">
      <alignment horizontal="center"/>
    </xf>
    <xf numFmtId="0" fontId="4" fillId="0" borderId="2" xfId="0" quotePrefix="1" applyFont="1" applyBorder="1" applyAlignment="1">
      <alignment horizontal="center" wrapText="1"/>
    </xf>
    <xf numFmtId="0" fontId="4" fillId="0" borderId="10" xfId="0" quotePrefix="1" applyFont="1" applyBorder="1" applyAlignment="1">
      <alignment horizontal="center" wrapText="1"/>
    </xf>
    <xf numFmtId="168" fontId="2" fillId="0" borderId="0" xfId="4" applyNumberFormat="1" applyFont="1" applyBorder="1" applyAlignment="1">
      <alignment horizontal="center"/>
    </xf>
    <xf numFmtId="168" fontId="2" fillId="0" borderId="12" xfId="4" applyNumberFormat="1" applyFont="1" applyBorder="1" applyAlignment="1">
      <alignment horizontal="center"/>
    </xf>
    <xf numFmtId="0" fontId="4" fillId="0" borderId="13" xfId="0" quotePrefix="1" applyFont="1" applyBorder="1" applyAlignment="1">
      <alignment horizontal="center" wrapText="1"/>
    </xf>
    <xf numFmtId="168" fontId="2" fillId="0" borderId="1" xfId="4" applyNumberFormat="1" applyFont="1" applyBorder="1" applyAlignment="1">
      <alignment horizontal="center"/>
    </xf>
    <xf numFmtId="0" fontId="2" fillId="0" borderId="14" xfId="0" applyFont="1" applyBorder="1"/>
    <xf numFmtId="168" fontId="11" fillId="0" borderId="0" xfId="4" applyNumberFormat="1" applyFont="1" applyFill="1" applyAlignment="1">
      <alignment horizontal="center"/>
    </xf>
    <xf numFmtId="0" fontId="11" fillId="0" borderId="0" xfId="0" applyFont="1" applyFill="1" applyAlignment="1">
      <alignment horizontal="left"/>
    </xf>
    <xf numFmtId="168" fontId="2" fillId="0" borderId="0" xfId="0" applyNumberFormat="1" applyFont="1" applyAlignment="1">
      <alignment horizontal="center"/>
    </xf>
    <xf numFmtId="0" fontId="11" fillId="0" borderId="0" xfId="0" applyFont="1" applyFill="1"/>
    <xf numFmtId="167" fontId="11" fillId="0" borderId="0" xfId="0" applyNumberFormat="1" applyFont="1" applyFill="1" applyAlignment="1">
      <alignment horizontal="center"/>
    </xf>
    <xf numFmtId="164" fontId="11" fillId="0" borderId="0" xfId="0" applyNumberFormat="1" applyFont="1" applyAlignment="1">
      <alignment horizontal="center"/>
    </xf>
    <xf numFmtId="164" fontId="11" fillId="0" borderId="0" xfId="0" applyNumberFormat="1" applyFont="1" applyAlignment="1">
      <alignment horizontal="center" vertical="center"/>
    </xf>
    <xf numFmtId="8" fontId="11" fillId="0" borderId="0" xfId="0" applyNumberFormat="1" applyFont="1" applyFill="1" applyAlignment="1" applyProtection="1">
      <alignment horizontal="center" vertical="top"/>
      <protection locked="0" hidden="1"/>
    </xf>
    <xf numFmtId="15" fontId="2" fillId="0" borderId="0" xfId="0" quotePrefix="1" applyNumberFormat="1" applyFont="1" applyAlignment="1">
      <alignment horizontal="center"/>
    </xf>
    <xf numFmtId="169" fontId="11" fillId="0" borderId="5" xfId="0" applyNumberFormat="1" applyFont="1" applyBorder="1" applyAlignment="1"/>
    <xf numFmtId="170" fontId="11" fillId="0" borderId="5" xfId="0" applyNumberFormat="1" applyFont="1" applyBorder="1" applyAlignment="1"/>
    <xf numFmtId="170" fontId="11" fillId="0" borderId="5" xfId="0" applyNumberFormat="1" applyFont="1" applyBorder="1" applyAlignment="1">
      <alignment horizontal="right"/>
    </xf>
    <xf numFmtId="169" fontId="11" fillId="0" borderId="0" xfId="0" applyNumberFormat="1" applyFont="1" applyAlignment="1"/>
    <xf numFmtId="170" fontId="11" fillId="0" borderId="0" xfId="0" applyNumberFormat="1" applyFont="1" applyAlignment="1"/>
    <xf numFmtId="170" fontId="11" fillId="0" borderId="0" xfId="0" applyNumberFormat="1" applyFont="1" applyAlignment="1">
      <alignment horizontal="right"/>
    </xf>
    <xf numFmtId="170" fontId="11" fillId="0" borderId="0" xfId="0" applyNumberFormat="1" applyFont="1" applyAlignment="1" applyProtection="1">
      <protection locked="0"/>
    </xf>
    <xf numFmtId="169" fontId="11" fillId="0" borderId="0" xfId="0" applyNumberFormat="1" applyFont="1" applyAlignment="1" applyProtection="1">
      <protection locked="0"/>
    </xf>
    <xf numFmtId="170" fontId="11" fillId="0" borderId="0" xfId="0" applyNumberFormat="1" applyFont="1" applyAlignment="1" applyProtection="1">
      <alignment horizontal="right"/>
      <protection locked="0"/>
    </xf>
    <xf numFmtId="169" fontId="11" fillId="0" borderId="6" xfId="0" applyNumberFormat="1" applyFont="1" applyBorder="1" applyAlignment="1"/>
    <xf numFmtId="170" fontId="11" fillId="0" borderId="6" xfId="0" applyNumberFormat="1" applyFont="1" applyBorder="1" applyAlignment="1"/>
    <xf numFmtId="170" fontId="11" fillId="0" borderId="6" xfId="0" applyNumberFormat="1" applyFont="1" applyBorder="1" applyAlignment="1">
      <alignment horizontal="right"/>
    </xf>
    <xf numFmtId="169" fontId="23" fillId="0" borderId="7" xfId="0" applyNumberFormat="1" applyFont="1" applyBorder="1" applyAlignment="1"/>
    <xf numFmtId="170" fontId="23" fillId="0" borderId="7" xfId="0" applyNumberFormat="1" applyFont="1" applyBorder="1" applyAlignment="1"/>
    <xf numFmtId="170" fontId="23" fillId="0" borderId="7" xfId="0" applyNumberFormat="1" applyFont="1" applyBorder="1" applyAlignment="1">
      <alignment horizontal="right"/>
    </xf>
    <xf numFmtId="170" fontId="11" fillId="0" borderId="7" xfId="0" applyNumberFormat="1" applyFont="1" applyBorder="1" applyAlignment="1"/>
    <xf numFmtId="169" fontId="23" fillId="0" borderId="0" xfId="0" applyNumberFormat="1" applyFont="1" applyBorder="1" applyAlignment="1"/>
    <xf numFmtId="170" fontId="23" fillId="0" borderId="0" xfId="0" applyNumberFormat="1" applyFont="1" applyBorder="1" applyAlignment="1"/>
    <xf numFmtId="170" fontId="23" fillId="0" borderId="0" xfId="0" applyNumberFormat="1" applyFont="1" applyBorder="1" applyAlignment="1">
      <alignment horizontal="right"/>
    </xf>
    <xf numFmtId="170" fontId="11" fillId="0" borderId="0" xfId="0" applyNumberFormat="1" applyFont="1" applyBorder="1" applyAlignment="1"/>
    <xf numFmtId="168" fontId="2" fillId="0" borderId="0" xfId="4" applyNumberFormat="1" applyFont="1" applyFill="1"/>
    <xf numFmtId="3" fontId="11" fillId="0" borderId="1" xfId="0" applyNumberFormat="1" applyFont="1" applyBorder="1"/>
    <xf numFmtId="164" fontId="11" fillId="0" borderId="0" xfId="0" applyNumberFormat="1" applyFont="1" applyFill="1"/>
    <xf numFmtId="3" fontId="11" fillId="0" borderId="0" xfId="3" applyNumberFormat="1" applyFont="1" applyFill="1"/>
    <xf numFmtId="3" fontId="11" fillId="0" borderId="0" xfId="3" applyNumberFormat="1" applyFont="1"/>
    <xf numFmtId="0" fontId="3" fillId="0" borderId="0" xfId="0" applyFont="1" applyFill="1" applyAlignment="1" applyProtection="1">
      <alignment horizontal="centerContinuous"/>
      <protection locked="0" hidden="1"/>
    </xf>
    <xf numFmtId="9" fontId="3" fillId="0" borderId="0" xfId="5" applyFont="1" applyFill="1" applyAlignment="1" applyProtection="1">
      <alignment horizontal="centerContinuous"/>
      <protection locked="0" hidden="1"/>
    </xf>
    <xf numFmtId="4" fontId="12" fillId="0" borderId="9" xfId="0" applyNumberFormat="1" applyFont="1" applyBorder="1" applyAlignment="1"/>
    <xf numFmtId="0" fontId="0" fillId="0" borderId="2" xfId="0" applyBorder="1" applyAlignment="1"/>
    <xf numFmtId="0" fontId="0" fillId="0" borderId="10" xfId="0" applyBorder="1" applyAlignment="1"/>
    <xf numFmtId="168" fontId="12" fillId="0" borderId="1" xfId="0" applyNumberFormat="1" applyFont="1" applyBorder="1" applyAlignment="1">
      <alignment horizontal="center"/>
    </xf>
    <xf numFmtId="0" fontId="1" fillId="0" borderId="9" xfId="0" applyFont="1" applyBorder="1"/>
    <xf numFmtId="0" fontId="1" fillId="0" borderId="10" xfId="0" applyFont="1" applyBorder="1"/>
    <xf numFmtId="0" fontId="2" fillId="0" borderId="11" xfId="1" applyBorder="1" applyAlignment="1">
      <alignment horizontal="center"/>
    </xf>
    <xf numFmtId="164" fontId="2" fillId="0" borderId="12" xfId="0" applyNumberFormat="1" applyFont="1" applyBorder="1"/>
    <xf numFmtId="0" fontId="2" fillId="0" borderId="13" xfId="1" applyBorder="1" applyAlignment="1">
      <alignment horizontal="center"/>
    </xf>
    <xf numFmtId="164" fontId="2" fillId="0" borderId="14" xfId="0" applyNumberFormat="1" applyFont="1" applyBorder="1"/>
    <xf numFmtId="0" fontId="13" fillId="0" borderId="11" xfId="0" applyFont="1" applyBorder="1" applyAlignment="1">
      <alignment horizontal="center"/>
    </xf>
    <xf numFmtId="0" fontId="13" fillId="0" borderId="12" xfId="0" applyFont="1" applyBorder="1" applyAlignment="1">
      <alignment horizontal="center"/>
    </xf>
    <xf numFmtId="0" fontId="2" fillId="0" borderId="9" xfId="1" applyBorder="1" applyAlignment="1">
      <alignment horizontal="center"/>
    </xf>
    <xf numFmtId="164" fontId="2" fillId="0" borderId="10" xfId="0" applyNumberFormat="1" applyFont="1" applyBorder="1"/>
    <xf numFmtId="174" fontId="11" fillId="0" borderId="0" xfId="6" applyNumberFormat="1" applyFont="1" applyFill="1" applyAlignment="1">
      <alignment horizontal="distributed"/>
    </xf>
    <xf numFmtId="168" fontId="11" fillId="0" borderId="0" xfId="4" applyNumberFormat="1" applyFont="1"/>
    <xf numFmtId="168" fontId="2" fillId="0" borderId="0" xfId="4" applyNumberFormat="1" applyFont="1"/>
    <xf numFmtId="3" fontId="23" fillId="0" borderId="0" xfId="0" applyNumberFormat="1" applyFont="1"/>
    <xf numFmtId="168" fontId="7" fillId="0" borderId="0" xfId="4" applyNumberFormat="1" applyFont="1"/>
    <xf numFmtId="43" fontId="2" fillId="0" borderId="0" xfId="6" applyNumberFormat="1" applyFont="1"/>
    <xf numFmtId="175" fontId="2" fillId="0" borderId="0" xfId="6" applyNumberFormat="1" applyFont="1"/>
    <xf numFmtId="175" fontId="11" fillId="0" borderId="0" xfId="6" applyNumberFormat="1" applyFont="1"/>
    <xf numFmtId="168" fontId="23" fillId="0" borderId="0" xfId="4" applyNumberFormat="1" applyFont="1"/>
    <xf numFmtId="0" fontId="2" fillId="0" borderId="0" xfId="0" applyFont="1" applyBorder="1" applyProtection="1">
      <protection locked="0" hidden="1"/>
    </xf>
    <xf numFmtId="0" fontId="4" fillId="0" borderId="9" xfId="0" applyFont="1" applyBorder="1" applyAlignment="1" applyProtection="1">
      <alignment horizontal="center"/>
      <protection locked="0" hidden="1"/>
    </xf>
    <xf numFmtId="0" fontId="4" fillId="0" borderId="2" xfId="0" applyFont="1" applyBorder="1" applyAlignment="1" applyProtection="1">
      <alignment horizontal="center"/>
      <protection locked="0" hidden="1"/>
    </xf>
    <xf numFmtId="0" fontId="4" fillId="0" borderId="10" xfId="0" applyFont="1" applyBorder="1" applyAlignment="1" applyProtection="1">
      <alignment horizontal="center"/>
      <protection locked="0" hidden="1"/>
    </xf>
    <xf numFmtId="0" fontId="2" fillId="0" borderId="11" xfId="0" applyFont="1" applyBorder="1" applyProtection="1">
      <protection locked="0" hidden="1"/>
    </xf>
    <xf numFmtId="0" fontId="2" fillId="0" borderId="12" xfId="0" applyFont="1" applyBorder="1" applyProtection="1">
      <protection locked="0" hidden="1"/>
    </xf>
    <xf numFmtId="168" fontId="11" fillId="0" borderId="13" xfId="0" applyNumberFormat="1" applyFont="1" applyFill="1" applyBorder="1" applyAlignment="1" applyProtection="1">
      <alignment horizontal="center"/>
      <protection locked="0" hidden="1"/>
    </xf>
    <xf numFmtId="168" fontId="11" fillId="0" borderId="1" xfId="0" applyNumberFormat="1" applyFont="1" applyFill="1" applyBorder="1" applyAlignment="1" applyProtection="1">
      <alignment horizontal="center"/>
      <protection locked="0" hidden="1"/>
    </xf>
    <xf numFmtId="168" fontId="2" fillId="0" borderId="14" xfId="0" applyNumberFormat="1" applyFont="1" applyFill="1" applyBorder="1" applyAlignment="1" applyProtection="1">
      <alignment horizontal="center"/>
      <protection locked="0" hidden="1"/>
    </xf>
    <xf numFmtId="0" fontId="2" fillId="0" borderId="0" xfId="1" applyFont="1" applyFill="1" applyAlignment="1">
      <alignment vertical="top" wrapText="1"/>
    </xf>
    <xf numFmtId="0" fontId="17" fillId="0" borderId="0" xfId="0" applyFont="1" applyAlignment="1">
      <alignment vertical="top"/>
    </xf>
    <xf numFmtId="0" fontId="2" fillId="0" borderId="0" xfId="1" applyFont="1" applyFill="1" applyAlignment="1">
      <alignment wrapText="1"/>
    </xf>
    <xf numFmtId="0" fontId="17" fillId="0" borderId="0" xfId="0" applyFont="1" applyAlignment="1"/>
    <xf numFmtId="0" fontId="2" fillId="0" borderId="1" xfId="0" applyFont="1" applyBorder="1" applyAlignment="1">
      <alignment horizontal="center"/>
    </xf>
    <xf numFmtId="0" fontId="2" fillId="0" borderId="0" xfId="0" applyFont="1" applyAlignment="1">
      <alignment horizontal="left" vertical="top" wrapText="1"/>
    </xf>
    <xf numFmtId="0" fontId="2" fillId="0" borderId="0" xfId="0" applyFont="1"/>
    <xf numFmtId="0" fontId="4" fillId="0" borderId="0" xfId="0" applyFont="1"/>
    <xf numFmtId="0" fontId="2" fillId="0" borderId="0" xfId="1" applyFont="1" applyFill="1" applyAlignment="1">
      <alignment horizontal="left" vertical="top" wrapText="1"/>
    </xf>
    <xf numFmtId="0" fontId="2" fillId="0" borderId="0" xfId="1" applyFont="1" applyFill="1"/>
    <xf numFmtId="0" fontId="2" fillId="0" borderId="0" xfId="0" applyFont="1" applyAlignment="1">
      <alignment vertical="top" wrapText="1"/>
    </xf>
    <xf numFmtId="0" fontId="2" fillId="0" borderId="0" xfId="0" applyFont="1" applyAlignment="1">
      <alignment wrapText="1"/>
    </xf>
    <xf numFmtId="0" fontId="17" fillId="0" borderId="0" xfId="0" applyFont="1" applyAlignment="1">
      <alignment horizontal="left" vertical="top" wrapText="1"/>
    </xf>
    <xf numFmtId="175" fontId="11" fillId="0" borderId="2" xfId="6" applyNumberFormat="1" applyFont="1" applyFill="1" applyBorder="1"/>
    <xf numFmtId="175" fontId="11" fillId="0" borderId="0" xfId="6" applyNumberFormat="1" applyFont="1" applyFill="1" applyBorder="1"/>
    <xf numFmtId="175" fontId="11" fillId="0" borderId="1" xfId="6" applyNumberFormat="1" applyFont="1" applyFill="1" applyBorder="1"/>
    <xf numFmtId="168" fontId="2" fillId="0" borderId="0" xfId="5" applyNumberFormat="1" applyFont="1" applyFill="1"/>
    <xf numFmtId="10" fontId="2" fillId="0" borderId="0" xfId="5" applyNumberFormat="1" applyFont="1" applyFill="1"/>
    <xf numFmtId="10" fontId="2" fillId="0" borderId="0" xfId="4" applyNumberFormat="1" applyFont="1" applyFill="1"/>
    <xf numFmtId="165" fontId="2" fillId="0" borderId="0" xfId="5" applyNumberFormat="1" applyFont="1" applyFill="1"/>
    <xf numFmtId="165" fontId="2" fillId="0" borderId="0" xfId="0" applyNumberFormat="1" applyFont="1" applyAlignment="1">
      <alignment horizontal="center"/>
    </xf>
    <xf numFmtId="165" fontId="11" fillId="0" borderId="0" xfId="5" applyNumberFormat="1" applyFont="1" applyFill="1"/>
    <xf numFmtId="168" fontId="11" fillId="0" borderId="0" xfId="5" applyNumberFormat="1" applyFont="1" applyFill="1"/>
    <xf numFmtId="3" fontId="11" fillId="0" borderId="0" xfId="5" applyNumberFormat="1" applyFont="1" applyFill="1"/>
    <xf numFmtId="165" fontId="2" fillId="0" borderId="0" xfId="0" applyNumberFormat="1" applyFont="1" applyFill="1"/>
    <xf numFmtId="176" fontId="2" fillId="0" borderId="0" xfId="0" applyNumberFormat="1" applyFont="1" applyAlignment="1">
      <alignment horizontal="right"/>
    </xf>
    <xf numFmtId="175" fontId="2" fillId="0" borderId="2" xfId="6" applyNumberFormat="1" applyFont="1" applyFill="1" applyBorder="1"/>
    <xf numFmtId="175" fontId="2" fillId="0" borderId="0" xfId="6" applyNumberFormat="1" applyFont="1" applyFill="1" applyBorder="1"/>
    <xf numFmtId="175" fontId="2" fillId="0" borderId="1" xfId="6" applyNumberFormat="1" applyFont="1" applyFill="1" applyBorder="1"/>
    <xf numFmtId="0" fontId="6" fillId="0" borderId="0" xfId="0" applyFont="1" applyAlignment="1">
      <alignment horizontal="right"/>
    </xf>
    <xf numFmtId="0" fontId="24" fillId="0" borderId="0" xfId="0" applyFont="1" applyAlignment="1">
      <alignment horizontal="center"/>
    </xf>
    <xf numFmtId="1" fontId="2" fillId="0" borderId="1" xfId="0" applyNumberFormat="1" applyFont="1" applyFill="1" applyBorder="1" applyAlignment="1">
      <alignment horizontal="center"/>
    </xf>
    <xf numFmtId="0" fontId="1" fillId="0" borderId="0" xfId="0" applyFont="1" applyAlignment="1">
      <alignment horizontal="center"/>
    </xf>
    <xf numFmtId="10" fontId="11" fillId="0" borderId="0" xfId="4" applyNumberFormat="1" applyFont="1" applyFill="1" applyBorder="1" applyAlignment="1">
      <alignment horizontal="center" vertical="center"/>
    </xf>
    <xf numFmtId="168" fontId="11" fillId="0" borderId="0" xfId="4" applyNumberFormat="1" applyFont="1" applyFill="1" applyBorder="1" applyAlignment="1">
      <alignment horizontal="center" vertical="center"/>
    </xf>
    <xf numFmtId="168" fontId="11" fillId="0" borderId="1" xfId="4" applyNumberFormat="1" applyFont="1" applyFill="1" applyBorder="1" applyAlignment="1">
      <alignment horizontal="center" vertical="center"/>
    </xf>
    <xf numFmtId="0" fontId="2" fillId="0" borderId="0" xfId="0" applyFont="1" applyFill="1" applyAlignment="1" applyProtection="1">
      <alignment horizontal="left"/>
      <protection locked="0" hidden="1"/>
    </xf>
    <xf numFmtId="0" fontId="2" fillId="0" borderId="0" xfId="0" quotePrefix="1" applyFont="1" applyFill="1" applyAlignment="1" applyProtection="1">
      <alignment horizontal="right" vertical="top"/>
      <protection locked="0" hidden="1"/>
    </xf>
    <xf numFmtId="0" fontId="2" fillId="0" borderId="0" xfId="0" applyFont="1" applyFill="1" applyProtection="1">
      <protection locked="0" hidden="1"/>
    </xf>
    <xf numFmtId="0" fontId="2" fillId="0" borderId="0" xfId="0" applyFont="1" applyFill="1" applyAlignment="1" applyProtection="1">
      <alignment horizontal="right"/>
      <protection locked="0" hidden="1"/>
    </xf>
    <xf numFmtId="168" fontId="11" fillId="0" borderId="0" xfId="4" applyNumberFormat="1" applyFont="1" applyFill="1" applyAlignment="1" applyProtection="1">
      <alignment horizontal="center"/>
      <protection locked="0" hidden="1"/>
    </xf>
    <xf numFmtId="164" fontId="2" fillId="0" borderId="0" xfId="0" applyNumberFormat="1" applyFont="1" applyFill="1" applyAlignment="1" applyProtection="1">
      <alignment horizontal="center" vertical="top" wrapText="1"/>
      <protection locked="0" hidden="1"/>
    </xf>
    <xf numFmtId="168" fontId="2" fillId="0" borderId="0" xfId="5" applyNumberFormat="1" applyFont="1" applyFill="1" applyAlignment="1">
      <alignment horizontal="center" vertical="top" wrapText="1"/>
    </xf>
    <xf numFmtId="0" fontId="2" fillId="0" borderId="0" xfId="0" applyFont="1"/>
    <xf numFmtId="0" fontId="2" fillId="0" borderId="0" xfId="3"/>
    <xf numFmtId="0" fontId="2" fillId="0" borderId="0" xfId="1" applyFont="1" applyAlignment="1">
      <alignment wrapText="1"/>
    </xf>
    <xf numFmtId="0" fontId="2" fillId="0" borderId="0" xfId="1" applyFont="1" applyFill="1" applyAlignment="1">
      <alignment vertical="top" wrapText="1"/>
    </xf>
    <xf numFmtId="0" fontId="17" fillId="0" borderId="0" xfId="0" applyFont="1" applyAlignment="1">
      <alignment vertical="top"/>
    </xf>
    <xf numFmtId="0" fontId="2" fillId="0" borderId="0" xfId="1" applyFont="1" applyFill="1" applyAlignment="1">
      <alignment wrapText="1"/>
    </xf>
    <xf numFmtId="0" fontId="17" fillId="0" borderId="0" xfId="0" applyFont="1" applyAlignment="1"/>
    <xf numFmtId="0" fontId="2" fillId="0" borderId="1" xfId="0" applyFont="1" applyBorder="1" applyAlignment="1">
      <alignment horizontal="center"/>
    </xf>
    <xf numFmtId="0" fontId="2" fillId="0" borderId="0" xfId="0" applyFont="1" applyAlignment="1">
      <alignment horizontal="left" vertical="top" wrapText="1"/>
    </xf>
    <xf numFmtId="0" fontId="2" fillId="0" borderId="0" xfId="0" applyFont="1"/>
    <xf numFmtId="0" fontId="0" fillId="0" borderId="1" xfId="0" applyBorder="1"/>
    <xf numFmtId="0" fontId="4" fillId="0" borderId="0" xfId="0" applyFont="1"/>
    <xf numFmtId="0" fontId="2" fillId="0" borderId="0" xfId="1" applyAlignment="1">
      <alignment horizontal="left" vertical="top" wrapText="1"/>
    </xf>
    <xf numFmtId="0" fontId="2" fillId="0" borderId="0" xfId="1" applyFont="1" applyFill="1" applyAlignment="1">
      <alignment horizontal="left" vertical="top" wrapText="1"/>
    </xf>
    <xf numFmtId="0" fontId="3" fillId="0" borderId="0" xfId="1" applyFont="1" applyFill="1" applyAlignment="1">
      <alignment horizontal="center" wrapText="1"/>
    </xf>
    <xf numFmtId="0" fontId="12" fillId="0" borderId="0" xfId="0" applyFont="1" applyFill="1" applyBorder="1" applyAlignment="1">
      <alignment horizontal="center"/>
    </xf>
    <xf numFmtId="0" fontId="2" fillId="0" borderId="0" xfId="1" applyFont="1" applyFill="1"/>
    <xf numFmtId="0" fontId="3" fillId="0" borderId="0" xfId="0" applyFont="1" applyFill="1" applyAlignment="1">
      <alignment horizontal="center"/>
    </xf>
    <xf numFmtId="0" fontId="2" fillId="0" borderId="1" xfId="0" applyFont="1" applyFill="1" applyBorder="1" applyAlignment="1">
      <alignment horizontal="center"/>
    </xf>
    <xf numFmtId="0" fontId="3" fillId="0" borderId="0" xfId="0" applyFont="1" applyAlignment="1">
      <alignment horizontal="center"/>
    </xf>
    <xf numFmtId="0" fontId="2" fillId="0" borderId="0" xfId="0" applyFont="1" applyFill="1" applyAlignment="1">
      <alignment horizontal="left" vertical="top" wrapText="1"/>
    </xf>
    <xf numFmtId="0" fontId="3" fillId="0" borderId="1" xfId="0" applyFont="1" applyFill="1" applyBorder="1" applyAlignment="1">
      <alignment horizontal="center"/>
    </xf>
    <xf numFmtId="0" fontId="2" fillId="0" borderId="8" xfId="0" applyFont="1" applyFill="1" applyBorder="1" applyAlignment="1">
      <alignment horizontal="center"/>
    </xf>
    <xf numFmtId="0" fontId="2" fillId="0" borderId="15" xfId="0" applyFont="1" applyBorder="1" applyAlignment="1">
      <alignment horizontal="center"/>
    </xf>
    <xf numFmtId="0" fontId="17" fillId="0" borderId="8" xfId="0" applyFont="1" applyBorder="1" applyAlignment="1">
      <alignment horizontal="center"/>
    </xf>
    <xf numFmtId="0" fontId="17" fillId="0" borderId="16" xfId="0" applyFont="1" applyBorder="1" applyAlignment="1">
      <alignment horizontal="center"/>
    </xf>
    <xf numFmtId="164" fontId="3" fillId="0" borderId="0" xfId="0" applyNumberFormat="1" applyFont="1" applyAlignment="1">
      <alignment horizontal="center"/>
    </xf>
    <xf numFmtId="0" fontId="2" fillId="0" borderId="0" xfId="0" applyFont="1" applyAlignment="1">
      <alignment vertical="top" wrapText="1"/>
    </xf>
    <xf numFmtId="0" fontId="2" fillId="0" borderId="0" xfId="0" applyFont="1" applyAlignment="1"/>
    <xf numFmtId="0" fontId="2" fillId="0" borderId="0" xfId="0" applyFont="1" applyFill="1" applyAlignment="1">
      <alignment vertical="top" wrapText="1"/>
    </xf>
    <xf numFmtId="0" fontId="1" fillId="0" borderId="0" xfId="0" applyFont="1" applyAlignment="1">
      <alignment wrapText="1"/>
    </xf>
    <xf numFmtId="0" fontId="2" fillId="0" borderId="0" xfId="0" applyFont="1" applyAlignment="1">
      <alignment wrapText="1"/>
    </xf>
    <xf numFmtId="0" fontId="2" fillId="0" borderId="0" xfId="0" applyFont="1" applyAlignment="1">
      <alignment horizontal="left" wrapText="1"/>
    </xf>
    <xf numFmtId="2" fontId="2" fillId="0" borderId="0" xfId="0" applyNumberFormat="1" applyFont="1" applyAlignment="1">
      <alignment wrapText="1"/>
    </xf>
    <xf numFmtId="0" fontId="2" fillId="0" borderId="1" xfId="3" applyFont="1" applyBorder="1" applyAlignment="1">
      <alignment horizontal="center"/>
    </xf>
    <xf numFmtId="0" fontId="2" fillId="0" borderId="0" xfId="3" applyFont="1" applyAlignment="1">
      <alignment horizontal="center"/>
    </xf>
    <xf numFmtId="4" fontId="12" fillId="0" borderId="15" xfId="0" applyNumberFormat="1" applyFont="1" applyFill="1" applyBorder="1" applyAlignment="1">
      <alignment horizontal="center"/>
    </xf>
    <xf numFmtId="0" fontId="0" fillId="0" borderId="8" xfId="0" applyFill="1" applyBorder="1" applyAlignment="1">
      <alignment horizontal="center"/>
    </xf>
    <xf numFmtId="0" fontId="0" fillId="0" borderId="16" xfId="0" applyFill="1" applyBorder="1" applyAlignment="1">
      <alignment horizontal="center"/>
    </xf>
    <xf numFmtId="0" fontId="17" fillId="0" borderId="0" xfId="0" applyFont="1"/>
    <xf numFmtId="0" fontId="2" fillId="0" borderId="0" xfId="0" applyFont="1" applyAlignment="1" applyProtection="1">
      <alignment vertical="top" wrapText="1"/>
      <protection locked="0" hidden="1"/>
    </xf>
    <xf numFmtId="0" fontId="17" fillId="0" borderId="0" xfId="0" applyFont="1" applyAlignment="1">
      <alignment horizontal="left" vertical="top" wrapText="1"/>
    </xf>
  </cellXfs>
  <cellStyles count="11">
    <cellStyle name="Comma" xfId="6" builtinId="3"/>
    <cellStyle name="Comma 2" xfId="9" xr:uid="{00000000-0005-0000-0000-000001000000}"/>
    <cellStyle name="Normal" xfId="0" builtinId="0"/>
    <cellStyle name="Normal 2" xfId="1" xr:uid="{00000000-0005-0000-0000-000003000000}"/>
    <cellStyle name="Normal 3" xfId="2" xr:uid="{00000000-0005-0000-0000-000004000000}"/>
    <cellStyle name="Normal 3 2" xfId="10" xr:uid="{00000000-0005-0000-0000-000005000000}"/>
    <cellStyle name="Normal 5" xfId="3" xr:uid="{00000000-0005-0000-0000-000006000000}"/>
    <cellStyle name="Normal 5 2" xfId="7" xr:uid="{00000000-0005-0000-0000-000007000000}"/>
    <cellStyle name="Percent" xfId="4" builtinId="5"/>
    <cellStyle name="Percent 2 2" xfId="5" xr:uid="{00000000-0005-0000-0000-000009000000}"/>
    <cellStyle name="Percent 3" xfId="8" xr:uid="{00000000-0005-0000-0000-00000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4</xdr:col>
      <xdr:colOff>419100</xdr:colOff>
      <xdr:row>45</xdr:row>
      <xdr:rowOff>0</xdr:rowOff>
    </xdr:from>
    <xdr:to>
      <xdr:col>11</xdr:col>
      <xdr:colOff>19050</xdr:colOff>
      <xdr:row>46</xdr:row>
      <xdr:rowOff>0</xdr:rowOff>
    </xdr:to>
    <xdr:sp macro="" textlink="">
      <xdr:nvSpPr>
        <xdr:cNvPr id="2" name="Text Box 6">
          <a:extLst>
            <a:ext uri="{FF2B5EF4-FFF2-40B4-BE49-F238E27FC236}">
              <a16:creationId xmlns:a16="http://schemas.microsoft.com/office/drawing/2014/main" id="{00000000-0008-0000-1900-000002000000}"/>
            </a:ext>
          </a:extLst>
        </xdr:cNvPr>
        <xdr:cNvSpPr txBox="1">
          <a:spLocks noChangeArrowheads="1"/>
        </xdr:cNvSpPr>
      </xdr:nvSpPr>
      <xdr:spPr bwMode="auto">
        <a:xfrm>
          <a:off x="2076450" y="6410325"/>
          <a:ext cx="292417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Selected Indemnity Severity Trend:</a:t>
          </a:r>
          <a:endParaRPr 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104775</xdr:colOff>
      <xdr:row>27</xdr:row>
      <xdr:rowOff>0</xdr:rowOff>
    </xdr:from>
    <xdr:to>
      <xdr:col>14</xdr:col>
      <xdr:colOff>333375</xdr:colOff>
      <xdr:row>27</xdr:row>
      <xdr:rowOff>0</xdr:rowOff>
    </xdr:to>
    <xdr:sp macro="" textlink="">
      <xdr:nvSpPr>
        <xdr:cNvPr id="4" name="Text Box 14">
          <a:extLst>
            <a:ext uri="{FF2B5EF4-FFF2-40B4-BE49-F238E27FC236}">
              <a16:creationId xmlns:a16="http://schemas.microsoft.com/office/drawing/2014/main" id="{00000000-0008-0000-2000-000004000000}"/>
            </a:ext>
          </a:extLst>
        </xdr:cNvPr>
        <xdr:cNvSpPr txBox="1">
          <a:spLocks noChangeArrowheads="1"/>
        </xdr:cNvSpPr>
      </xdr:nvSpPr>
      <xdr:spPr bwMode="auto">
        <a:xfrm>
          <a:off x="6124575" y="3752850"/>
          <a:ext cx="3429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a:t>
          </a:r>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I48"/>
  <sheetViews>
    <sheetView tabSelected="1" zoomScaleNormal="100" workbookViewId="0"/>
  </sheetViews>
  <sheetFormatPr defaultColWidth="9.1796875" defaultRowHeight="12.5"/>
  <cols>
    <col min="1" max="1" width="8" style="108" customWidth="1"/>
    <col min="2" max="3" width="14" style="108" customWidth="1"/>
    <col min="4" max="4" width="12.7265625" style="108" bestFit="1" customWidth="1"/>
    <col min="5" max="5" width="13.81640625" style="108" customWidth="1"/>
    <col min="6" max="7" width="12.7265625" style="108" bestFit="1" customWidth="1"/>
    <col min="8" max="8" width="14.1796875" style="108" customWidth="1"/>
    <col min="9" max="9" width="6.7265625" style="108" customWidth="1"/>
    <col min="10" max="16384" width="9.1796875" style="108"/>
  </cols>
  <sheetData>
    <row r="1" spans="1:9" ht="18" customHeight="1">
      <c r="A1" s="278" t="s">
        <v>0</v>
      </c>
      <c r="B1" s="278"/>
      <c r="C1" s="278"/>
      <c r="D1" s="278"/>
      <c r="E1" s="278"/>
      <c r="F1" s="278"/>
      <c r="G1" s="278"/>
      <c r="H1" s="278"/>
      <c r="I1" s="278"/>
    </row>
    <row r="2" spans="1:9" ht="18" customHeight="1">
      <c r="A2" s="278" t="s">
        <v>468</v>
      </c>
      <c r="B2" s="278"/>
      <c r="C2" s="278"/>
      <c r="D2" s="278"/>
      <c r="E2" s="278"/>
      <c r="F2" s="278"/>
      <c r="G2" s="278"/>
      <c r="H2" s="278"/>
      <c r="I2" s="278"/>
    </row>
    <row r="3" spans="1:9" ht="18" customHeight="1">
      <c r="A3" s="1"/>
      <c r="B3" s="1"/>
      <c r="C3" s="1"/>
      <c r="D3" s="1"/>
      <c r="E3" s="1"/>
      <c r="F3" s="1"/>
      <c r="G3" s="1"/>
      <c r="H3" s="1"/>
      <c r="I3" s="2"/>
    </row>
    <row r="4" spans="1:9" ht="18" customHeight="1">
      <c r="A4" s="3"/>
      <c r="B4" s="1" t="s">
        <v>1</v>
      </c>
      <c r="C4" s="1" t="s">
        <v>2</v>
      </c>
      <c r="D4" s="1" t="s">
        <v>3</v>
      </c>
      <c r="E4" s="1" t="s">
        <v>4</v>
      </c>
      <c r="F4" s="1" t="s">
        <v>5</v>
      </c>
      <c r="G4" s="1"/>
      <c r="H4" s="1" t="s">
        <v>6</v>
      </c>
      <c r="I4" s="105" t="s">
        <v>7</v>
      </c>
    </row>
    <row r="5" spans="1:9" ht="15" customHeight="1">
      <c r="A5" s="19" t="s">
        <v>8</v>
      </c>
      <c r="B5" s="19" t="s">
        <v>9</v>
      </c>
      <c r="C5" s="19" t="s">
        <v>3</v>
      </c>
      <c r="D5" s="19" t="s">
        <v>10</v>
      </c>
      <c r="E5" s="222" t="s">
        <v>328</v>
      </c>
      <c r="F5" s="19" t="s">
        <v>10</v>
      </c>
      <c r="G5" s="19" t="s">
        <v>15</v>
      </c>
      <c r="H5" s="19" t="s">
        <v>16</v>
      </c>
      <c r="I5" s="106" t="s">
        <v>11</v>
      </c>
    </row>
    <row r="6" spans="1:9" ht="15" customHeight="1">
      <c r="A6" s="117">
        <f t="shared" ref="A6:A9" si="0">A7-1</f>
        <v>1983</v>
      </c>
      <c r="B6" s="368">
        <v>2016821999</v>
      </c>
      <c r="C6" s="368">
        <v>816331089</v>
      </c>
      <c r="D6" s="368">
        <v>3383347</v>
      </c>
      <c r="E6" s="368">
        <v>635164194</v>
      </c>
      <c r="F6" s="368">
        <v>11749857</v>
      </c>
      <c r="G6" s="368">
        <v>11221665</v>
      </c>
      <c r="H6" s="368">
        <v>1477850152</v>
      </c>
      <c r="I6" s="105">
        <f t="shared" ref="I6:I10" si="1">+H6/B6</f>
        <v>0.73276181672589935</v>
      </c>
    </row>
    <row r="7" spans="1:9" ht="15" customHeight="1">
      <c r="A7" s="117">
        <f t="shared" si="0"/>
        <v>1984</v>
      </c>
      <c r="B7" s="368">
        <v>2388795989</v>
      </c>
      <c r="C7" s="368">
        <v>1068000227</v>
      </c>
      <c r="D7" s="368">
        <v>2821697</v>
      </c>
      <c r="E7" s="368">
        <v>796206116</v>
      </c>
      <c r="F7" s="368">
        <v>9706258</v>
      </c>
      <c r="G7" s="368">
        <v>19512049</v>
      </c>
      <c r="H7" s="368">
        <v>1896246347</v>
      </c>
      <c r="I7" s="105">
        <f t="shared" si="1"/>
        <v>0.7938084104845673</v>
      </c>
    </row>
    <row r="8" spans="1:9" ht="16.149999999999999" customHeight="1">
      <c r="A8" s="117">
        <f t="shared" si="0"/>
        <v>1985</v>
      </c>
      <c r="B8" s="368">
        <v>2823354059</v>
      </c>
      <c r="C8" s="368">
        <v>1259597309</v>
      </c>
      <c r="D8" s="368">
        <v>3513764</v>
      </c>
      <c r="E8" s="368">
        <v>975578441</v>
      </c>
      <c r="F8" s="368">
        <v>16210773</v>
      </c>
      <c r="G8" s="368">
        <v>13360188</v>
      </c>
      <c r="H8" s="368">
        <v>2268260475</v>
      </c>
      <c r="I8" s="105">
        <f t="shared" si="1"/>
        <v>0.80339214551199156</v>
      </c>
    </row>
    <row r="9" spans="1:9" ht="16.149999999999999" customHeight="1">
      <c r="A9" s="117">
        <f t="shared" si="0"/>
        <v>1986</v>
      </c>
      <c r="B9" s="368">
        <v>3506054575</v>
      </c>
      <c r="C9" s="368">
        <v>1384637384</v>
      </c>
      <c r="D9" s="368">
        <v>4527032</v>
      </c>
      <c r="E9" s="368">
        <v>1146908217</v>
      </c>
      <c r="F9" s="368">
        <v>20199882</v>
      </c>
      <c r="G9" s="368">
        <v>19183511</v>
      </c>
      <c r="H9" s="368">
        <v>2575456026</v>
      </c>
      <c r="I9" s="105">
        <f t="shared" si="1"/>
        <v>0.73457385528575236</v>
      </c>
    </row>
    <row r="10" spans="1:9" ht="16.149999999999999" customHeight="1">
      <c r="A10" s="117">
        <f>A11-1</f>
        <v>1987</v>
      </c>
      <c r="B10" s="369">
        <v>4373509816</v>
      </c>
      <c r="C10" s="369">
        <v>1507664683</v>
      </c>
      <c r="D10" s="368">
        <v>7342594</v>
      </c>
      <c r="E10" s="368">
        <v>1337649576</v>
      </c>
      <c r="F10" s="368">
        <v>43787130</v>
      </c>
      <c r="G10" s="368">
        <v>47596278</v>
      </c>
      <c r="H10" s="368">
        <v>2944040261</v>
      </c>
      <c r="I10" s="105">
        <f t="shared" si="1"/>
        <v>0.67315277314104927</v>
      </c>
    </row>
    <row r="11" spans="1:9" ht="15" customHeight="1">
      <c r="A11" s="117">
        <f t="shared" ref="A11:A42" si="2">A12-1</f>
        <v>1988</v>
      </c>
      <c r="B11" s="368">
        <v>5172229109</v>
      </c>
      <c r="C11" s="368">
        <v>1704401135</v>
      </c>
      <c r="D11" s="368">
        <v>6406940</v>
      </c>
      <c r="E11" s="368">
        <v>1544833279</v>
      </c>
      <c r="F11" s="368">
        <v>33614616</v>
      </c>
      <c r="G11" s="368">
        <v>37641304</v>
      </c>
      <c r="H11" s="368">
        <v>3326897274</v>
      </c>
      <c r="I11" s="105">
        <f t="shared" ref="I11:I43" si="3">+H11/B11</f>
        <v>0.64322310630265622</v>
      </c>
    </row>
    <row r="12" spans="1:9" ht="15" customHeight="1">
      <c r="A12" s="117">
        <f t="shared" si="2"/>
        <v>1989</v>
      </c>
      <c r="B12" s="368">
        <v>5675115503</v>
      </c>
      <c r="C12" s="368">
        <v>1940878987</v>
      </c>
      <c r="D12" s="368">
        <v>6762863</v>
      </c>
      <c r="E12" s="368">
        <v>1805759128</v>
      </c>
      <c r="F12" s="368">
        <v>41477009</v>
      </c>
      <c r="G12" s="368">
        <v>41835131</v>
      </c>
      <c r="H12" s="368">
        <v>3836713118</v>
      </c>
      <c r="I12" s="105">
        <f t="shared" si="3"/>
        <v>0.67605903632654218</v>
      </c>
    </row>
    <row r="13" spans="1:9" ht="16.149999999999999" customHeight="1">
      <c r="A13" s="117">
        <f t="shared" si="2"/>
        <v>1990</v>
      </c>
      <c r="B13" s="368">
        <v>5704524437</v>
      </c>
      <c r="C13" s="368">
        <v>2261984157</v>
      </c>
      <c r="D13" s="368">
        <v>7450278</v>
      </c>
      <c r="E13" s="368">
        <v>2049444452</v>
      </c>
      <c r="F13" s="368">
        <v>37340277</v>
      </c>
      <c r="G13" s="368">
        <v>59420213</v>
      </c>
      <c r="H13" s="368">
        <v>4415639377</v>
      </c>
      <c r="I13" s="105">
        <f t="shared" si="3"/>
        <v>0.77405915703679196</v>
      </c>
    </row>
    <row r="14" spans="1:9" ht="16.149999999999999" customHeight="1">
      <c r="A14" s="117">
        <f t="shared" si="2"/>
        <v>1991</v>
      </c>
      <c r="B14" s="368">
        <v>5866491692</v>
      </c>
      <c r="C14" s="368">
        <v>2480860317</v>
      </c>
      <c r="D14" s="368">
        <v>14539699</v>
      </c>
      <c r="E14" s="368">
        <v>2207458851</v>
      </c>
      <c r="F14" s="368">
        <v>42832128</v>
      </c>
      <c r="G14" s="368">
        <v>57578574</v>
      </c>
      <c r="H14" s="368">
        <v>4803269569</v>
      </c>
      <c r="I14" s="105">
        <f t="shared" si="3"/>
        <v>0.81876355088853336</v>
      </c>
    </row>
    <row r="15" spans="1:9" ht="16.149999999999999" customHeight="1">
      <c r="A15" s="117">
        <f t="shared" si="2"/>
        <v>1992</v>
      </c>
      <c r="B15" s="369">
        <v>5685231287</v>
      </c>
      <c r="C15" s="369">
        <v>1979451384</v>
      </c>
      <c r="D15" s="368">
        <v>13620885</v>
      </c>
      <c r="E15" s="368">
        <v>1769477560</v>
      </c>
      <c r="F15" s="368">
        <v>44554297</v>
      </c>
      <c r="G15" s="368">
        <v>52324023</v>
      </c>
      <c r="H15" s="368">
        <v>3859428149</v>
      </c>
      <c r="I15" s="105">
        <f t="shared" si="3"/>
        <v>0.67885156366902266</v>
      </c>
    </row>
    <row r="16" spans="1:9" ht="16.149999999999999" customHeight="1">
      <c r="A16" s="117">
        <f t="shared" si="2"/>
        <v>1993</v>
      </c>
      <c r="B16" s="368">
        <v>5934618230</v>
      </c>
      <c r="C16" s="368">
        <v>1695530148</v>
      </c>
      <c r="D16" s="368">
        <v>10766238</v>
      </c>
      <c r="E16" s="368">
        <v>1520177029</v>
      </c>
      <c r="F16" s="368">
        <v>53375081</v>
      </c>
      <c r="G16" s="368">
        <v>52796225</v>
      </c>
      <c r="H16" s="368">
        <v>3332644721</v>
      </c>
      <c r="I16" s="105">
        <f t="shared" si="3"/>
        <v>0.561560085559202</v>
      </c>
    </row>
    <row r="17" spans="1:9" ht="16.149999999999999" customHeight="1">
      <c r="A17" s="117">
        <f t="shared" si="2"/>
        <v>1994</v>
      </c>
      <c r="B17" s="368">
        <v>5030976034</v>
      </c>
      <c r="C17" s="368">
        <v>1629531748</v>
      </c>
      <c r="D17" s="368">
        <v>20633505</v>
      </c>
      <c r="E17" s="368">
        <v>1473384226</v>
      </c>
      <c r="F17" s="368">
        <v>78424851</v>
      </c>
      <c r="G17" s="368">
        <v>33737760</v>
      </c>
      <c r="H17" s="368">
        <v>3235712090</v>
      </c>
      <c r="I17" s="105">
        <f t="shared" si="3"/>
        <v>0.64315792167019492</v>
      </c>
    </row>
    <row r="18" spans="1:9" ht="16.149999999999999" customHeight="1">
      <c r="A18" s="117">
        <f t="shared" si="2"/>
        <v>1995</v>
      </c>
      <c r="B18" s="368">
        <v>3789174380</v>
      </c>
      <c r="C18" s="368">
        <v>1770360235</v>
      </c>
      <c r="D18" s="368">
        <v>23785006</v>
      </c>
      <c r="E18" s="368">
        <v>1634237967</v>
      </c>
      <c r="F18" s="368">
        <v>82012088</v>
      </c>
      <c r="G18" s="368">
        <v>43777024</v>
      </c>
      <c r="H18" s="368">
        <v>3554172320</v>
      </c>
      <c r="I18" s="105">
        <f t="shared" si="3"/>
        <v>0.937980669023736</v>
      </c>
    </row>
    <row r="19" spans="1:9" ht="16.149999999999999" customHeight="1">
      <c r="A19" s="117">
        <f t="shared" si="2"/>
        <v>1996</v>
      </c>
      <c r="B19" s="368">
        <v>3746680214</v>
      </c>
      <c r="C19" s="368">
        <v>1961858797</v>
      </c>
      <c r="D19" s="368">
        <v>28286828</v>
      </c>
      <c r="E19" s="368">
        <v>1728437744</v>
      </c>
      <c r="F19" s="368">
        <v>83793251</v>
      </c>
      <c r="G19" s="368">
        <v>55222253</v>
      </c>
      <c r="H19" s="368">
        <v>3857598873</v>
      </c>
      <c r="I19" s="105">
        <f t="shared" si="3"/>
        <v>1.0296045172431683</v>
      </c>
    </row>
    <row r="20" spans="1:9" ht="16.149999999999999" customHeight="1">
      <c r="A20" s="117">
        <f t="shared" si="2"/>
        <v>1997</v>
      </c>
      <c r="B20" s="368">
        <v>3926898608</v>
      </c>
      <c r="C20" s="368">
        <v>2326384512</v>
      </c>
      <c r="D20" s="368">
        <v>33212666</v>
      </c>
      <c r="E20" s="368">
        <v>2027055511</v>
      </c>
      <c r="F20" s="368">
        <v>106847788</v>
      </c>
      <c r="G20" s="368">
        <v>94312667</v>
      </c>
      <c r="H20" s="368">
        <v>4587813144</v>
      </c>
      <c r="I20" s="105">
        <f t="shared" si="3"/>
        <v>1.1683044565127207</v>
      </c>
    </row>
    <row r="21" spans="1:9" ht="16.149999999999999" customHeight="1">
      <c r="A21" s="117">
        <f t="shared" si="2"/>
        <v>1998</v>
      </c>
      <c r="B21" s="368">
        <v>4332127034</v>
      </c>
      <c r="C21" s="368">
        <v>2783947187</v>
      </c>
      <c r="D21" s="368">
        <v>43902705</v>
      </c>
      <c r="E21" s="368">
        <v>2663743709</v>
      </c>
      <c r="F21" s="368">
        <v>197800608</v>
      </c>
      <c r="G21" s="368">
        <v>165770945</v>
      </c>
      <c r="H21" s="368">
        <v>5855165154</v>
      </c>
      <c r="I21" s="105">
        <f t="shared" si="3"/>
        <v>1.3515682038053549</v>
      </c>
    </row>
    <row r="22" spans="1:9" ht="16.149999999999999" customHeight="1">
      <c r="A22" s="117">
        <f t="shared" si="2"/>
        <v>1999</v>
      </c>
      <c r="B22" s="368">
        <v>4550437880</v>
      </c>
      <c r="C22" s="368">
        <v>3064143243</v>
      </c>
      <c r="D22" s="368">
        <v>46132679</v>
      </c>
      <c r="E22" s="368">
        <v>3055921517</v>
      </c>
      <c r="F22" s="368">
        <v>150398698</v>
      </c>
      <c r="G22" s="368">
        <v>236983102</v>
      </c>
      <c r="H22" s="368">
        <v>6553579239</v>
      </c>
      <c r="I22" s="105">
        <f t="shared" si="3"/>
        <v>1.440208483628393</v>
      </c>
    </row>
    <row r="23" spans="1:9" ht="16.149999999999999" customHeight="1">
      <c r="A23" s="117">
        <f t="shared" si="2"/>
        <v>2000</v>
      </c>
      <c r="B23" s="368">
        <v>5921821993</v>
      </c>
      <c r="C23" s="368">
        <v>3436861930</v>
      </c>
      <c r="D23" s="368">
        <v>61430717</v>
      </c>
      <c r="E23" s="368">
        <v>3580337584</v>
      </c>
      <c r="F23" s="368">
        <v>189851967</v>
      </c>
      <c r="G23" s="368">
        <v>376650983</v>
      </c>
      <c r="H23" s="368">
        <v>7645133181</v>
      </c>
      <c r="I23" s="105">
        <f t="shared" si="3"/>
        <v>1.2910102988636052</v>
      </c>
    </row>
    <row r="24" spans="1:9" ht="16.149999999999999" customHeight="1">
      <c r="A24" s="117">
        <f t="shared" si="2"/>
        <v>2001</v>
      </c>
      <c r="B24" s="368">
        <v>10118688616</v>
      </c>
      <c r="C24" s="368">
        <v>4862338565</v>
      </c>
      <c r="D24" s="368">
        <v>85397071</v>
      </c>
      <c r="E24" s="368">
        <v>5410747850</v>
      </c>
      <c r="F24" s="368">
        <v>307233360</v>
      </c>
      <c r="G24" s="368">
        <v>613721095</v>
      </c>
      <c r="H24" s="368">
        <v>11279437941</v>
      </c>
      <c r="I24" s="105">
        <f t="shared" si="3"/>
        <v>1.1147134148554176</v>
      </c>
    </row>
    <row r="25" spans="1:9" ht="16.149999999999999" customHeight="1">
      <c r="A25" s="117">
        <f t="shared" si="2"/>
        <v>2002</v>
      </c>
      <c r="B25" s="368">
        <v>13432760460</v>
      </c>
      <c r="C25" s="368">
        <v>4790891371</v>
      </c>
      <c r="D25" s="368">
        <v>83226333</v>
      </c>
      <c r="E25" s="368">
        <v>5525276541</v>
      </c>
      <c r="F25" s="368">
        <v>276032844</v>
      </c>
      <c r="G25" s="368">
        <v>890219431</v>
      </c>
      <c r="H25" s="368">
        <v>11565646520</v>
      </c>
      <c r="I25" s="105">
        <f t="shared" si="3"/>
        <v>0.86100296022102962</v>
      </c>
    </row>
    <row r="26" spans="1:9" ht="16.149999999999999" customHeight="1">
      <c r="A26" s="117">
        <f t="shared" si="2"/>
        <v>2003</v>
      </c>
      <c r="B26" s="368">
        <v>19472988351</v>
      </c>
      <c r="C26" s="368">
        <v>4578575851</v>
      </c>
      <c r="D26" s="368">
        <v>124304328</v>
      </c>
      <c r="E26" s="368">
        <v>5104559793</v>
      </c>
      <c r="F26" s="368">
        <v>307066623</v>
      </c>
      <c r="G26" s="368">
        <v>1255340403</v>
      </c>
      <c r="H26" s="368">
        <v>11369846998</v>
      </c>
      <c r="I26" s="105">
        <f t="shared" si="3"/>
        <v>0.58387787190434604</v>
      </c>
    </row>
    <row r="27" spans="1:9" ht="16.149999999999999" customHeight="1">
      <c r="A27" s="117">
        <f t="shared" si="2"/>
        <v>2004</v>
      </c>
      <c r="B27" s="368">
        <v>23092633294</v>
      </c>
      <c r="C27" s="368">
        <v>3230246990</v>
      </c>
      <c r="D27" s="368">
        <v>108251376</v>
      </c>
      <c r="E27" s="368">
        <v>4087468965</v>
      </c>
      <c r="F27" s="368">
        <v>245913462</v>
      </c>
      <c r="G27" s="368">
        <v>1397182529</v>
      </c>
      <c r="H27" s="368">
        <v>9069063322</v>
      </c>
      <c r="I27" s="105">
        <f t="shared" si="3"/>
        <v>0.39272538590721712</v>
      </c>
    </row>
    <row r="28" spans="1:9" ht="16.149999999999999" customHeight="1">
      <c r="A28" s="117">
        <f t="shared" si="2"/>
        <v>2005</v>
      </c>
      <c r="B28" s="368">
        <v>21394600575</v>
      </c>
      <c r="C28" s="368">
        <v>2552564658</v>
      </c>
      <c r="D28" s="368">
        <v>92590938</v>
      </c>
      <c r="E28" s="368">
        <v>3689821040</v>
      </c>
      <c r="F28" s="368">
        <v>227944444</v>
      </c>
      <c r="G28" s="368">
        <v>1098575990</v>
      </c>
      <c r="H28" s="368">
        <v>7661497070</v>
      </c>
      <c r="I28" s="105">
        <f t="shared" si="3"/>
        <v>0.35810423490460513</v>
      </c>
    </row>
    <row r="29" spans="1:9" ht="16.149999999999999" customHeight="1">
      <c r="A29" s="117">
        <f t="shared" si="2"/>
        <v>2006</v>
      </c>
      <c r="B29" s="368">
        <v>17233032862</v>
      </c>
      <c r="C29" s="368">
        <v>2637421999</v>
      </c>
      <c r="D29" s="368">
        <v>103342847</v>
      </c>
      <c r="E29" s="368">
        <v>3792973132</v>
      </c>
      <c r="F29" s="368">
        <v>263356963</v>
      </c>
      <c r="G29" s="368">
        <v>750235944</v>
      </c>
      <c r="H29" s="368">
        <v>7547330885</v>
      </c>
      <c r="I29" s="105">
        <f t="shared" si="3"/>
        <v>0.4379572037863616</v>
      </c>
    </row>
    <row r="30" spans="1:9" ht="16.149999999999999" customHeight="1">
      <c r="A30" s="117">
        <f t="shared" si="2"/>
        <v>2007</v>
      </c>
      <c r="B30" s="368">
        <v>13276770615</v>
      </c>
      <c r="C30" s="368">
        <v>2788130805</v>
      </c>
      <c r="D30" s="368">
        <v>108853561</v>
      </c>
      <c r="E30" s="368">
        <v>4068527799</v>
      </c>
      <c r="F30" s="368">
        <v>285660272</v>
      </c>
      <c r="G30" s="368">
        <v>710792023</v>
      </c>
      <c r="H30" s="368">
        <v>7961964460</v>
      </c>
      <c r="I30" s="105">
        <f t="shared" si="3"/>
        <v>0.59969134745799024</v>
      </c>
    </row>
    <row r="31" spans="1:9" ht="16.149999999999999" customHeight="1">
      <c r="A31" s="117">
        <f t="shared" si="2"/>
        <v>2008</v>
      </c>
      <c r="B31" s="368">
        <v>10765114133</v>
      </c>
      <c r="C31" s="368">
        <v>2828448677</v>
      </c>
      <c r="D31" s="368">
        <v>133130756</v>
      </c>
      <c r="E31" s="368">
        <v>4061699457</v>
      </c>
      <c r="F31" s="368">
        <v>302269533</v>
      </c>
      <c r="G31" s="368">
        <v>612878886</v>
      </c>
      <c r="H31" s="368">
        <v>7938427309</v>
      </c>
      <c r="I31" s="105">
        <f t="shared" si="3"/>
        <v>0.73742156478072896</v>
      </c>
    </row>
    <row r="32" spans="1:9" ht="16.149999999999999" customHeight="1">
      <c r="A32" s="117">
        <f t="shared" si="2"/>
        <v>2009</v>
      </c>
      <c r="B32" s="368">
        <v>8901420752</v>
      </c>
      <c r="C32" s="368">
        <v>2703503460</v>
      </c>
      <c r="D32" s="368">
        <v>131100606</v>
      </c>
      <c r="E32" s="368">
        <v>3866027723</v>
      </c>
      <c r="F32" s="368">
        <v>315628652</v>
      </c>
      <c r="G32" s="368">
        <v>474632305</v>
      </c>
      <c r="H32" s="368">
        <v>7490892746</v>
      </c>
      <c r="I32" s="105">
        <f t="shared" si="3"/>
        <v>0.84153900312115026</v>
      </c>
    </row>
    <row r="33" spans="1:9" ht="16.149999999999999" customHeight="1">
      <c r="A33" s="171">
        <f t="shared" si="2"/>
        <v>2010</v>
      </c>
      <c r="B33" s="370">
        <v>9408127723</v>
      </c>
      <c r="C33" s="370">
        <v>2723494461</v>
      </c>
      <c r="D33" s="370">
        <v>129626954</v>
      </c>
      <c r="E33" s="371">
        <v>3975506831</v>
      </c>
      <c r="F33" s="370">
        <v>271027473</v>
      </c>
      <c r="G33" s="370">
        <v>553978537</v>
      </c>
      <c r="H33" s="372">
        <v>7653634256</v>
      </c>
      <c r="I33" s="107">
        <f t="shared" si="3"/>
        <v>0.81351300506786284</v>
      </c>
    </row>
    <row r="34" spans="1:9" ht="16.149999999999999" customHeight="1">
      <c r="A34" s="227">
        <f t="shared" si="2"/>
        <v>2011</v>
      </c>
      <c r="B34" s="373">
        <v>10141174044</v>
      </c>
      <c r="C34" s="373">
        <v>2696007354</v>
      </c>
      <c r="D34" s="373">
        <v>136972770</v>
      </c>
      <c r="E34" s="369">
        <v>3598685665.7142859</v>
      </c>
      <c r="F34" s="373">
        <v>293766451</v>
      </c>
      <c r="G34" s="373">
        <v>717537865</v>
      </c>
      <c r="H34" s="374">
        <v>7442970105.7142859</v>
      </c>
      <c r="I34" s="170">
        <f t="shared" si="3"/>
        <v>0.73393574288549956</v>
      </c>
    </row>
    <row r="35" spans="1:9" ht="16.149999999999999" customHeight="1">
      <c r="A35" s="227">
        <f t="shared" si="2"/>
        <v>2012</v>
      </c>
      <c r="B35" s="373">
        <v>11718095745</v>
      </c>
      <c r="C35" s="373">
        <v>2740593692</v>
      </c>
      <c r="D35" s="373">
        <v>174238728</v>
      </c>
      <c r="E35" s="373">
        <v>3497603809</v>
      </c>
      <c r="F35" s="373">
        <v>335851276</v>
      </c>
      <c r="G35" s="373">
        <v>797701226</v>
      </c>
      <c r="H35" s="374">
        <v>7545988731</v>
      </c>
      <c r="I35" s="170">
        <f t="shared" si="3"/>
        <v>0.64396032386233071</v>
      </c>
    </row>
    <row r="36" spans="1:9" ht="16.149999999999999" customHeight="1">
      <c r="A36" s="227">
        <f t="shared" si="2"/>
        <v>2013</v>
      </c>
      <c r="B36" s="373">
        <v>14186071217</v>
      </c>
      <c r="C36" s="373">
        <v>2778369303</v>
      </c>
      <c r="D36" s="373">
        <v>175063225</v>
      </c>
      <c r="E36" s="373">
        <v>3335383852</v>
      </c>
      <c r="F36" s="373">
        <v>344074054</v>
      </c>
      <c r="G36" s="373">
        <v>1396696880</v>
      </c>
      <c r="H36" s="374">
        <v>8029587314</v>
      </c>
      <c r="I36" s="170">
        <f t="shared" si="3"/>
        <v>0.56601910361042562</v>
      </c>
    </row>
    <row r="37" spans="1:9" ht="16.149999999999999" customHeight="1">
      <c r="A37" s="227">
        <f t="shared" si="2"/>
        <v>2014</v>
      </c>
      <c r="B37" s="373">
        <v>16014478353</v>
      </c>
      <c r="C37" s="373">
        <v>2898817284</v>
      </c>
      <c r="D37" s="373">
        <v>228391811</v>
      </c>
      <c r="E37" s="373">
        <v>3250969755</v>
      </c>
      <c r="F37" s="373">
        <v>393139016</v>
      </c>
      <c r="G37" s="373">
        <v>1823701179</v>
      </c>
      <c r="H37" s="374">
        <v>8595019045</v>
      </c>
      <c r="I37" s="170">
        <f t="shared" si="3"/>
        <v>0.53670302931783542</v>
      </c>
    </row>
    <row r="38" spans="1:9" ht="16.149999999999999" customHeight="1">
      <c r="A38" s="227">
        <f t="shared" si="2"/>
        <v>2015</v>
      </c>
      <c r="B38" s="373">
        <v>17059790388</v>
      </c>
      <c r="C38" s="373">
        <v>2897183808</v>
      </c>
      <c r="D38" s="373">
        <v>304670798</v>
      </c>
      <c r="E38" s="373">
        <v>3129766912</v>
      </c>
      <c r="F38" s="373">
        <v>512339228</v>
      </c>
      <c r="G38" s="373">
        <v>2345880397</v>
      </c>
      <c r="H38" s="374">
        <v>9189841143</v>
      </c>
      <c r="I38" s="170">
        <f t="shared" si="3"/>
        <v>0.5386842941202965</v>
      </c>
    </row>
    <row r="39" spans="1:9" ht="16.149999999999999" customHeight="1">
      <c r="A39" s="117">
        <f t="shared" si="2"/>
        <v>2016</v>
      </c>
      <c r="B39" s="368">
        <v>17949045779</v>
      </c>
      <c r="C39" s="368">
        <v>2728640909</v>
      </c>
      <c r="D39" s="368">
        <v>389459234</v>
      </c>
      <c r="E39" s="368">
        <v>2925489749</v>
      </c>
      <c r="F39" s="368">
        <v>618467854</v>
      </c>
      <c r="G39" s="368">
        <v>3180352277</v>
      </c>
      <c r="H39" s="374">
        <v>9842410023</v>
      </c>
      <c r="I39" s="170">
        <f t="shared" si="3"/>
        <v>0.54835282856737766</v>
      </c>
    </row>
    <row r="40" spans="1:9" ht="16.149999999999999" customHeight="1">
      <c r="A40" s="117">
        <f t="shared" si="2"/>
        <v>2017</v>
      </c>
      <c r="B40" s="368">
        <v>17671411530</v>
      </c>
      <c r="C40" s="368">
        <v>2479476624</v>
      </c>
      <c r="D40" s="368">
        <v>558365213</v>
      </c>
      <c r="E40" s="368">
        <v>2682889580</v>
      </c>
      <c r="F40" s="368">
        <v>829330362</v>
      </c>
      <c r="G40" s="368">
        <v>2855151594</v>
      </c>
      <c r="H40" s="374">
        <v>9405213373</v>
      </c>
      <c r="I40" s="170">
        <f t="shared" si="3"/>
        <v>0.53222762409404434</v>
      </c>
    </row>
    <row r="41" spans="1:9" ht="16.149999999999999" customHeight="1">
      <c r="A41" s="117">
        <f t="shared" si="2"/>
        <v>2018</v>
      </c>
      <c r="B41" s="368">
        <v>17426895842</v>
      </c>
      <c r="C41" s="368">
        <v>2121150355</v>
      </c>
      <c r="D41" s="368">
        <v>834435205</v>
      </c>
      <c r="E41" s="368">
        <v>2401344344</v>
      </c>
      <c r="F41" s="368">
        <v>1127823747</v>
      </c>
      <c r="G41" s="368">
        <v>3253561772</v>
      </c>
      <c r="H41" s="375">
        <v>9738315423</v>
      </c>
      <c r="I41" s="8">
        <f t="shared" si="3"/>
        <v>0.55880952702603526</v>
      </c>
    </row>
    <row r="42" spans="1:9" ht="16.149999999999999" customHeight="1">
      <c r="A42" s="117">
        <f t="shared" si="2"/>
        <v>2019</v>
      </c>
      <c r="B42" s="368">
        <v>16095972721</v>
      </c>
      <c r="C42" s="368">
        <v>1454666678</v>
      </c>
      <c r="D42" s="368">
        <v>1103236857</v>
      </c>
      <c r="E42" s="368">
        <v>1713790043</v>
      </c>
      <c r="F42" s="368">
        <v>1509468299</v>
      </c>
      <c r="G42" s="368">
        <v>3875638112</v>
      </c>
      <c r="H42" s="375">
        <v>9656799989</v>
      </c>
      <c r="I42" s="8">
        <f t="shared" si="3"/>
        <v>0.599951314306157</v>
      </c>
    </row>
    <row r="43" spans="1:9" ht="16.149999999999999" customHeight="1">
      <c r="A43" s="117">
        <v>2020</v>
      </c>
      <c r="B43" s="368">
        <v>14051708388</v>
      </c>
      <c r="C43" s="368">
        <v>454879533.39999998</v>
      </c>
      <c r="D43" s="368">
        <v>811103619.58000004</v>
      </c>
      <c r="E43" s="368">
        <v>618789323.94000006</v>
      </c>
      <c r="F43" s="368">
        <v>1343809739.9400001</v>
      </c>
      <c r="G43" s="368">
        <v>5188007574.4499998</v>
      </c>
      <c r="H43" s="375">
        <v>8416589791.3099995</v>
      </c>
      <c r="I43" s="8">
        <f t="shared" si="3"/>
        <v>0.59897270558914184</v>
      </c>
    </row>
    <row r="44" spans="1:9" ht="18" customHeight="1">
      <c r="A44" s="6"/>
      <c r="B44" s="5"/>
      <c r="C44" s="5"/>
      <c r="D44" s="5"/>
      <c r="E44" s="5"/>
      <c r="F44" s="5"/>
      <c r="G44" s="7"/>
      <c r="H44" s="7"/>
      <c r="I44" s="8"/>
    </row>
    <row r="45" spans="1:9" ht="16.149999999999999" customHeight="1">
      <c r="A45" s="9" t="s">
        <v>12</v>
      </c>
      <c r="B45" s="161" t="s">
        <v>300</v>
      </c>
      <c r="C45" s="5"/>
      <c r="D45" s="5"/>
      <c r="E45" s="5"/>
      <c r="F45" s="5"/>
      <c r="G45" s="7"/>
      <c r="H45" s="7"/>
      <c r="I45" s="8"/>
    </row>
    <row r="46" spans="1:9" ht="27" customHeight="1">
      <c r="A46" s="9" t="s">
        <v>13</v>
      </c>
      <c r="B46" s="508" t="s">
        <v>14</v>
      </c>
      <c r="C46" s="508"/>
      <c r="D46" s="508"/>
      <c r="E46" s="508"/>
      <c r="F46" s="508"/>
      <c r="G46" s="508"/>
      <c r="H46" s="508"/>
      <c r="I46" s="508"/>
    </row>
    <row r="47" spans="1:9" ht="18" customHeight="1">
      <c r="A47" s="24"/>
      <c r="B47" s="110"/>
      <c r="C47" s="110"/>
      <c r="D47" s="110"/>
      <c r="E47" s="110"/>
      <c r="F47" s="110"/>
      <c r="G47" s="110"/>
      <c r="H47" s="110"/>
      <c r="I47" s="110"/>
    </row>
    <row r="48" spans="1:9" ht="18" customHeight="1">
      <c r="A48" s="172" t="s">
        <v>305</v>
      </c>
      <c r="B48" s="110" t="s">
        <v>469</v>
      </c>
      <c r="C48" s="110"/>
      <c r="D48" s="110"/>
      <c r="E48" s="110"/>
      <c r="F48" s="110"/>
      <c r="G48" s="110"/>
      <c r="H48" s="110"/>
      <c r="I48" s="110"/>
    </row>
  </sheetData>
  <mergeCells count="1">
    <mergeCell ref="B46:I46"/>
  </mergeCells>
  <pageMargins left="0.5" right="0.5" top="0.75" bottom="0.75" header="0.33" footer="0.33"/>
  <pageSetup scale="87" orientation="portrait" blackAndWhite="1" r:id="rId1"/>
  <headerFooter scaleWithDoc="0">
    <oddHeader>&amp;R&amp;"Arial,Regular"&amp;10Exhibit 1</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pageSetUpPr fitToPage="1"/>
  </sheetPr>
  <dimension ref="A1:V41"/>
  <sheetViews>
    <sheetView zoomScaleNormal="100" workbookViewId="0"/>
  </sheetViews>
  <sheetFormatPr defaultColWidth="9.1796875" defaultRowHeight="12.5"/>
  <cols>
    <col min="1" max="1" width="18.81640625" style="169" customWidth="1"/>
    <col min="2" max="20" width="7.7265625" style="169" customWidth="1"/>
    <col min="21" max="21" width="7.7265625" style="284" customWidth="1"/>
    <col min="22" max="22" width="7.7265625" style="233" customWidth="1"/>
    <col min="23" max="16384" width="9.1796875" style="169"/>
  </cols>
  <sheetData>
    <row r="1" spans="1:22" ht="14.5" customHeight="1">
      <c r="A1" s="243" t="str">
        <f>"Selected Indemnity Development Factors - Paid to Ultimate"</f>
        <v>Selected Indemnity Development Factors - Paid to Ultimate</v>
      </c>
      <c r="B1" s="243"/>
      <c r="C1" s="243"/>
      <c r="D1" s="243"/>
      <c r="E1" s="243"/>
      <c r="F1" s="243"/>
      <c r="G1" s="243"/>
      <c r="H1" s="243"/>
      <c r="I1" s="243"/>
      <c r="J1" s="243"/>
      <c r="K1" s="243"/>
      <c r="L1" s="243"/>
      <c r="M1" s="243"/>
      <c r="N1" s="243"/>
      <c r="O1" s="243"/>
      <c r="P1" s="243"/>
      <c r="Q1" s="243"/>
      <c r="R1" s="243"/>
      <c r="S1" s="243"/>
      <c r="T1" s="243"/>
      <c r="U1" s="243"/>
      <c r="V1" s="243"/>
    </row>
    <row r="2" spans="1:22" ht="13">
      <c r="A2" s="218"/>
      <c r="B2" s="218"/>
      <c r="C2" s="218"/>
      <c r="D2" s="218"/>
      <c r="E2" s="218"/>
      <c r="F2" s="218"/>
      <c r="G2" s="218"/>
      <c r="H2" s="218"/>
      <c r="I2" s="218"/>
      <c r="J2" s="218"/>
      <c r="K2" s="218"/>
      <c r="L2" s="218"/>
      <c r="M2" s="218"/>
      <c r="N2" s="218"/>
      <c r="O2" s="218"/>
      <c r="P2" s="218"/>
      <c r="Q2" s="218"/>
      <c r="R2" s="218"/>
      <c r="S2" s="218"/>
      <c r="T2" s="44"/>
      <c r="U2" s="44"/>
      <c r="V2" s="44"/>
    </row>
    <row r="3" spans="1:22" ht="14.5" customHeight="1">
      <c r="A3" s="218"/>
      <c r="B3" s="246" t="s">
        <v>18</v>
      </c>
      <c r="C3" s="246"/>
      <c r="D3" s="246"/>
      <c r="E3" s="246"/>
      <c r="F3" s="246"/>
      <c r="G3" s="246"/>
      <c r="H3" s="246"/>
      <c r="I3" s="246"/>
      <c r="J3" s="246"/>
      <c r="K3" s="246"/>
      <c r="L3" s="246"/>
      <c r="M3" s="246"/>
      <c r="N3" s="246"/>
      <c r="O3" s="246"/>
      <c r="P3" s="246"/>
      <c r="Q3" s="246"/>
      <c r="R3" s="246"/>
      <c r="S3" s="246"/>
      <c r="T3" s="246"/>
      <c r="U3" s="246"/>
      <c r="V3" s="246"/>
    </row>
    <row r="4" spans="1:22">
      <c r="A4" s="19" t="s">
        <v>19</v>
      </c>
      <c r="B4" s="19" t="s">
        <v>471</v>
      </c>
      <c r="C4" s="19" t="s">
        <v>472</v>
      </c>
      <c r="D4" s="19" t="s">
        <v>473</v>
      </c>
      <c r="E4" s="19" t="s">
        <v>474</v>
      </c>
      <c r="F4" s="19" t="s">
        <v>475</v>
      </c>
      <c r="G4" s="19" t="s">
        <v>476</v>
      </c>
      <c r="H4" s="19" t="s">
        <v>477</v>
      </c>
      <c r="I4" s="19" t="s">
        <v>478</v>
      </c>
      <c r="J4" s="19" t="s">
        <v>479</v>
      </c>
      <c r="K4" s="19" t="s">
        <v>480</v>
      </c>
      <c r="L4" s="19" t="s">
        <v>481</v>
      </c>
      <c r="M4" s="19" t="s">
        <v>482</v>
      </c>
      <c r="N4" s="19" t="s">
        <v>483</v>
      </c>
      <c r="O4" s="19" t="s">
        <v>484</v>
      </c>
      <c r="P4" s="19" t="s">
        <v>485</v>
      </c>
      <c r="Q4" s="19" t="s">
        <v>486</v>
      </c>
      <c r="R4" s="19" t="s">
        <v>487</v>
      </c>
      <c r="S4" s="19" t="s">
        <v>488</v>
      </c>
      <c r="T4" s="19" t="s">
        <v>489</v>
      </c>
      <c r="U4" s="19" t="s">
        <v>490</v>
      </c>
      <c r="V4" s="19" t="s">
        <v>491</v>
      </c>
    </row>
    <row r="5" spans="1:22" s="204" customFormat="1">
      <c r="A5" s="1">
        <f t="shared" ref="A5:A29" si="0">+A6-1</f>
        <v>1994</v>
      </c>
      <c r="B5" s="21" t="s">
        <v>34</v>
      </c>
      <c r="C5" s="21" t="s">
        <v>34</v>
      </c>
      <c r="D5" s="21" t="s">
        <v>34</v>
      </c>
      <c r="E5" s="21" t="s">
        <v>34</v>
      </c>
      <c r="F5" s="21" t="s">
        <v>34</v>
      </c>
      <c r="G5" s="21" t="s">
        <v>34</v>
      </c>
      <c r="H5" s="21" t="s">
        <v>34</v>
      </c>
      <c r="I5" s="21" t="s">
        <v>34</v>
      </c>
      <c r="J5" s="21" t="s">
        <v>34</v>
      </c>
      <c r="K5" s="21" t="s">
        <v>34</v>
      </c>
      <c r="L5" s="21" t="s">
        <v>34</v>
      </c>
      <c r="M5" s="21" t="s">
        <v>34</v>
      </c>
      <c r="N5" s="21">
        <v>1.0069999999999999</v>
      </c>
      <c r="O5" s="21">
        <v>1.006</v>
      </c>
      <c r="P5" s="21">
        <v>1.0029999999999999</v>
      </c>
      <c r="Q5" s="21">
        <v>1.0029999999999999</v>
      </c>
      <c r="R5" s="21">
        <v>1.004</v>
      </c>
      <c r="S5" s="21">
        <v>1.0029999999999999</v>
      </c>
      <c r="T5" s="21">
        <v>1.0029999999999999</v>
      </c>
      <c r="U5" s="21">
        <v>1.0029999999999999</v>
      </c>
      <c r="V5" s="21">
        <v>1.002</v>
      </c>
    </row>
    <row r="6" spans="1:22" s="204" customFormat="1">
      <c r="A6" s="1">
        <f t="shared" si="0"/>
        <v>1995</v>
      </c>
      <c r="B6" s="21" t="s">
        <v>34</v>
      </c>
      <c r="C6" s="21" t="s">
        <v>34</v>
      </c>
      <c r="D6" s="21" t="s">
        <v>34</v>
      </c>
      <c r="E6" s="21" t="s">
        <v>34</v>
      </c>
      <c r="F6" s="21" t="s">
        <v>34</v>
      </c>
      <c r="G6" s="21" t="s">
        <v>34</v>
      </c>
      <c r="H6" s="21" t="s">
        <v>34</v>
      </c>
      <c r="I6" s="21" t="s">
        <v>34</v>
      </c>
      <c r="J6" s="21" t="s">
        <v>34</v>
      </c>
      <c r="K6" s="21" t="s">
        <v>34</v>
      </c>
      <c r="L6" s="21" t="s">
        <v>34</v>
      </c>
      <c r="M6" s="21">
        <v>1.008</v>
      </c>
      <c r="N6" s="21">
        <v>1.0069999999999999</v>
      </c>
      <c r="O6" s="21">
        <v>1.0049999999999999</v>
      </c>
      <c r="P6" s="21">
        <v>1.0049999999999999</v>
      </c>
      <c r="Q6" s="21">
        <v>1.0029999999999999</v>
      </c>
      <c r="R6" s="21">
        <v>1.0049999999999999</v>
      </c>
      <c r="S6" s="21">
        <v>1.0049999999999999</v>
      </c>
      <c r="T6" s="21">
        <v>1.0029999999999999</v>
      </c>
      <c r="U6" s="21">
        <v>1.0029999999999999</v>
      </c>
      <c r="V6" s="21">
        <v>1.002</v>
      </c>
    </row>
    <row r="7" spans="1:22">
      <c r="A7" s="1">
        <f t="shared" si="0"/>
        <v>1996</v>
      </c>
      <c r="B7" s="21" t="s">
        <v>34</v>
      </c>
      <c r="C7" s="21" t="s">
        <v>34</v>
      </c>
      <c r="D7" s="21" t="s">
        <v>34</v>
      </c>
      <c r="E7" s="21" t="s">
        <v>34</v>
      </c>
      <c r="F7" s="21" t="s">
        <v>34</v>
      </c>
      <c r="G7" s="21" t="s">
        <v>34</v>
      </c>
      <c r="H7" s="21" t="s">
        <v>34</v>
      </c>
      <c r="I7" s="21" t="s">
        <v>34</v>
      </c>
      <c r="J7" s="21" t="s">
        <v>34</v>
      </c>
      <c r="K7" s="21" t="s">
        <v>34</v>
      </c>
      <c r="L7" s="21">
        <v>1.012</v>
      </c>
      <c r="M7" s="21">
        <v>1.0089999999999999</v>
      </c>
      <c r="N7" s="21">
        <v>1.006</v>
      </c>
      <c r="O7" s="21">
        <v>1.006</v>
      </c>
      <c r="P7" s="21">
        <v>1.004</v>
      </c>
      <c r="Q7" s="21">
        <v>1.004</v>
      </c>
      <c r="R7" s="21">
        <v>1.0049999999999999</v>
      </c>
      <c r="S7" s="21">
        <v>1.004</v>
      </c>
      <c r="T7" s="21">
        <v>1.0029999999999999</v>
      </c>
      <c r="U7" s="21">
        <v>1.0029999999999999</v>
      </c>
      <c r="V7" s="21">
        <v>1.002</v>
      </c>
    </row>
    <row r="8" spans="1:22">
      <c r="A8" s="1">
        <f t="shared" si="0"/>
        <v>1997</v>
      </c>
      <c r="B8" s="21" t="s">
        <v>34</v>
      </c>
      <c r="C8" s="21" t="s">
        <v>34</v>
      </c>
      <c r="D8" s="21" t="s">
        <v>34</v>
      </c>
      <c r="E8" s="21" t="s">
        <v>34</v>
      </c>
      <c r="F8" s="21" t="s">
        <v>34</v>
      </c>
      <c r="G8" s="21" t="s">
        <v>34</v>
      </c>
      <c r="H8" s="21" t="s">
        <v>34</v>
      </c>
      <c r="I8" s="21" t="s">
        <v>34</v>
      </c>
      <c r="J8" s="21" t="s">
        <v>34</v>
      </c>
      <c r="K8" s="21">
        <v>1.016</v>
      </c>
      <c r="L8" s="21">
        <v>1.012</v>
      </c>
      <c r="M8" s="21">
        <v>1.008</v>
      </c>
      <c r="N8" s="21">
        <v>1.0069999999999999</v>
      </c>
      <c r="O8" s="21">
        <v>1.006</v>
      </c>
      <c r="P8" s="21">
        <v>1.006</v>
      </c>
      <c r="Q8" s="21">
        <v>1.0049999999999999</v>
      </c>
      <c r="R8" s="21">
        <v>1.004</v>
      </c>
      <c r="S8" s="21">
        <v>1.0029999999999999</v>
      </c>
      <c r="T8" s="21">
        <v>1.0029999999999999</v>
      </c>
      <c r="U8" s="21">
        <v>1.002</v>
      </c>
      <c r="V8" s="21">
        <v>1.0029999999999999</v>
      </c>
    </row>
    <row r="9" spans="1:22">
      <c r="A9" s="1">
        <f t="shared" si="0"/>
        <v>1998</v>
      </c>
      <c r="B9" s="21" t="s">
        <v>34</v>
      </c>
      <c r="C9" s="21" t="s">
        <v>34</v>
      </c>
      <c r="D9" s="21" t="s">
        <v>34</v>
      </c>
      <c r="E9" s="21" t="s">
        <v>34</v>
      </c>
      <c r="F9" s="21" t="s">
        <v>34</v>
      </c>
      <c r="G9" s="21" t="s">
        <v>34</v>
      </c>
      <c r="H9" s="21" t="s">
        <v>34</v>
      </c>
      <c r="I9" s="21" t="s">
        <v>34</v>
      </c>
      <c r="J9" s="21">
        <v>1.0209999999999999</v>
      </c>
      <c r="K9" s="21">
        <v>1.0149999999999999</v>
      </c>
      <c r="L9" s="21">
        <v>1.012</v>
      </c>
      <c r="M9" s="21">
        <v>1.0089999999999999</v>
      </c>
      <c r="N9" s="21">
        <v>1.0089999999999999</v>
      </c>
      <c r="O9" s="21">
        <v>1.0069999999999999</v>
      </c>
      <c r="P9" s="21">
        <v>1.006</v>
      </c>
      <c r="Q9" s="21">
        <v>1.006</v>
      </c>
      <c r="R9" s="21">
        <v>1.006</v>
      </c>
      <c r="S9" s="21">
        <v>1.004</v>
      </c>
      <c r="T9" s="21">
        <v>1.0029999999999999</v>
      </c>
      <c r="U9" s="21">
        <v>1.0029999999999999</v>
      </c>
      <c r="V9" s="21">
        <v>1.0029999999999999</v>
      </c>
    </row>
    <row r="10" spans="1:22">
      <c r="A10" s="1">
        <f t="shared" si="0"/>
        <v>1999</v>
      </c>
      <c r="B10" s="21" t="s">
        <v>34</v>
      </c>
      <c r="C10" s="21" t="s">
        <v>34</v>
      </c>
      <c r="D10" s="21" t="s">
        <v>34</v>
      </c>
      <c r="E10" s="21" t="s">
        <v>34</v>
      </c>
      <c r="F10" s="21" t="s">
        <v>34</v>
      </c>
      <c r="G10" s="21" t="s">
        <v>34</v>
      </c>
      <c r="H10" s="21" t="s">
        <v>34</v>
      </c>
      <c r="I10" s="21">
        <v>1.0249999999999999</v>
      </c>
      <c r="J10" s="21">
        <v>1.018</v>
      </c>
      <c r="K10" s="21">
        <v>1.0149999999999999</v>
      </c>
      <c r="L10" s="21">
        <v>1.0109999999999999</v>
      </c>
      <c r="M10" s="21">
        <v>1.0089999999999999</v>
      </c>
      <c r="N10" s="21">
        <v>1.008</v>
      </c>
      <c r="O10" s="21">
        <v>1.0069999999999999</v>
      </c>
      <c r="P10" s="21">
        <v>1.006</v>
      </c>
      <c r="Q10" s="21">
        <v>1.004</v>
      </c>
      <c r="R10" s="21">
        <v>1.004</v>
      </c>
      <c r="S10" s="21">
        <v>1.0029999999999999</v>
      </c>
      <c r="T10" s="21">
        <v>1.0029999999999999</v>
      </c>
      <c r="U10" s="21">
        <v>1.0029999999999999</v>
      </c>
      <c r="V10" s="21">
        <v>1.002</v>
      </c>
    </row>
    <row r="11" spans="1:22">
      <c r="A11" s="1">
        <f t="shared" si="0"/>
        <v>2000</v>
      </c>
      <c r="B11" s="21" t="s">
        <v>34</v>
      </c>
      <c r="C11" s="21" t="s">
        <v>34</v>
      </c>
      <c r="D11" s="21" t="s">
        <v>34</v>
      </c>
      <c r="E11" s="21" t="s">
        <v>34</v>
      </c>
      <c r="F11" s="21" t="s">
        <v>34</v>
      </c>
      <c r="G11" s="21" t="s">
        <v>34</v>
      </c>
      <c r="H11" s="21">
        <v>1.0349999999999999</v>
      </c>
      <c r="I11" s="21">
        <v>1.0249999999999999</v>
      </c>
      <c r="J11" s="21">
        <v>1.016</v>
      </c>
      <c r="K11" s="21">
        <v>1.0129999999999999</v>
      </c>
      <c r="L11" s="21">
        <v>1.01</v>
      </c>
      <c r="M11" s="21">
        <v>1.0089999999999999</v>
      </c>
      <c r="N11" s="21">
        <v>1.008</v>
      </c>
      <c r="O11" s="21">
        <v>1.0069999999999999</v>
      </c>
      <c r="P11" s="21">
        <v>1.0049999999999999</v>
      </c>
      <c r="Q11" s="21">
        <v>1.004</v>
      </c>
      <c r="R11" s="21">
        <v>1.004</v>
      </c>
      <c r="S11" s="21">
        <v>1.004</v>
      </c>
      <c r="T11" s="21">
        <v>1.0029999999999999</v>
      </c>
      <c r="U11" s="21">
        <v>1.002</v>
      </c>
      <c r="V11" s="21" t="s">
        <v>34</v>
      </c>
    </row>
    <row r="12" spans="1:22">
      <c r="A12" s="1">
        <f t="shared" si="0"/>
        <v>2001</v>
      </c>
      <c r="B12" s="21" t="s">
        <v>34</v>
      </c>
      <c r="C12" s="21" t="s">
        <v>34</v>
      </c>
      <c r="D12" s="21" t="s">
        <v>34</v>
      </c>
      <c r="E12" s="21" t="s">
        <v>34</v>
      </c>
      <c r="F12" s="21" t="s">
        <v>34</v>
      </c>
      <c r="G12" s="21">
        <v>1.0509999999999999</v>
      </c>
      <c r="H12" s="21">
        <v>1.034</v>
      </c>
      <c r="I12" s="21">
        <v>1.024</v>
      </c>
      <c r="J12" s="21">
        <v>1.0169999999999999</v>
      </c>
      <c r="K12" s="21">
        <v>1.014</v>
      </c>
      <c r="L12" s="21">
        <v>1.012</v>
      </c>
      <c r="M12" s="21">
        <v>1.0109999999999999</v>
      </c>
      <c r="N12" s="21">
        <v>1.008</v>
      </c>
      <c r="O12" s="21">
        <v>1.0069999999999999</v>
      </c>
      <c r="P12" s="21">
        <v>1.006</v>
      </c>
      <c r="Q12" s="21">
        <v>1.0049999999999999</v>
      </c>
      <c r="R12" s="21">
        <v>1.0049999999999999</v>
      </c>
      <c r="S12" s="21">
        <v>1.0049999999999999</v>
      </c>
      <c r="T12" s="21">
        <v>1.004</v>
      </c>
      <c r="U12" s="21" t="s">
        <v>34</v>
      </c>
      <c r="V12" s="21" t="s">
        <v>34</v>
      </c>
    </row>
    <row r="13" spans="1:22">
      <c r="A13" s="1">
        <f t="shared" si="0"/>
        <v>2002</v>
      </c>
      <c r="B13" s="21" t="s">
        <v>34</v>
      </c>
      <c r="C13" s="21" t="s">
        <v>34</v>
      </c>
      <c r="D13" s="21" t="s">
        <v>34</v>
      </c>
      <c r="E13" s="21" t="s">
        <v>34</v>
      </c>
      <c r="F13" s="21">
        <v>1.075</v>
      </c>
      <c r="G13" s="21">
        <v>1.046</v>
      </c>
      <c r="H13" s="21">
        <v>1.0309999999999999</v>
      </c>
      <c r="I13" s="21">
        <v>1.02</v>
      </c>
      <c r="J13" s="21">
        <v>1.018</v>
      </c>
      <c r="K13" s="21">
        <v>1.0149999999999999</v>
      </c>
      <c r="L13" s="21">
        <v>1.014</v>
      </c>
      <c r="M13" s="21">
        <v>1.008</v>
      </c>
      <c r="N13" s="21">
        <v>1.008</v>
      </c>
      <c r="O13" s="21">
        <v>1.006</v>
      </c>
      <c r="P13" s="21">
        <v>1.006</v>
      </c>
      <c r="Q13" s="21">
        <v>1.0049999999999999</v>
      </c>
      <c r="R13" s="21">
        <v>1.0049999999999999</v>
      </c>
      <c r="S13" s="21">
        <v>1.004</v>
      </c>
      <c r="T13" s="21" t="s">
        <v>34</v>
      </c>
      <c r="U13" s="21" t="s">
        <v>34</v>
      </c>
      <c r="V13" s="21" t="s">
        <v>34</v>
      </c>
    </row>
    <row r="14" spans="1:22">
      <c r="A14" s="1">
        <f t="shared" si="0"/>
        <v>2003</v>
      </c>
      <c r="B14" s="21" t="s">
        <v>34</v>
      </c>
      <c r="C14" s="21" t="s">
        <v>34</v>
      </c>
      <c r="D14" s="21" t="s">
        <v>34</v>
      </c>
      <c r="E14" s="21">
        <v>1.1279999999999999</v>
      </c>
      <c r="F14" s="21">
        <v>1.0720000000000001</v>
      </c>
      <c r="G14" s="21">
        <v>1.0429999999999999</v>
      </c>
      <c r="H14" s="21">
        <v>1.03</v>
      </c>
      <c r="I14" s="21">
        <v>1.026</v>
      </c>
      <c r="J14" s="21">
        <v>1.0229999999999999</v>
      </c>
      <c r="K14" s="21">
        <v>1.0209999999999999</v>
      </c>
      <c r="L14" s="21">
        <v>1.0149999999999999</v>
      </c>
      <c r="M14" s="21">
        <v>1.012</v>
      </c>
      <c r="N14" s="21">
        <v>1.0089999999999999</v>
      </c>
      <c r="O14" s="21">
        <v>1.008</v>
      </c>
      <c r="P14" s="21">
        <v>1.0069999999999999</v>
      </c>
      <c r="Q14" s="21">
        <v>1.0069999999999999</v>
      </c>
      <c r="R14" s="21">
        <v>1.0069999999999999</v>
      </c>
      <c r="S14" s="21" t="s">
        <v>34</v>
      </c>
      <c r="T14" s="21" t="s">
        <v>34</v>
      </c>
      <c r="U14" s="21" t="s">
        <v>34</v>
      </c>
      <c r="V14" s="21" t="s">
        <v>34</v>
      </c>
    </row>
    <row r="15" spans="1:22">
      <c r="A15" s="1">
        <f t="shared" si="0"/>
        <v>2004</v>
      </c>
      <c r="B15" s="21" t="s">
        <v>34</v>
      </c>
      <c r="C15" s="21" t="s">
        <v>34</v>
      </c>
      <c r="D15" s="21">
        <v>1.236</v>
      </c>
      <c r="E15" s="21">
        <v>1.1160000000000001</v>
      </c>
      <c r="F15" s="21">
        <v>1.073</v>
      </c>
      <c r="G15" s="21">
        <v>1.0489999999999999</v>
      </c>
      <c r="H15" s="21">
        <v>1.0409999999999999</v>
      </c>
      <c r="I15" s="21">
        <v>1.0349999999999999</v>
      </c>
      <c r="J15" s="21">
        <v>1.03</v>
      </c>
      <c r="K15" s="21">
        <v>1.02</v>
      </c>
      <c r="L15" s="21">
        <v>1.0149999999999999</v>
      </c>
      <c r="M15" s="21">
        <v>1.0109999999999999</v>
      </c>
      <c r="N15" s="21">
        <v>1.0089999999999999</v>
      </c>
      <c r="O15" s="21">
        <v>1.008</v>
      </c>
      <c r="P15" s="21">
        <v>1.0089999999999999</v>
      </c>
      <c r="Q15" s="21">
        <v>1.006</v>
      </c>
      <c r="R15" s="21" t="s">
        <v>34</v>
      </c>
      <c r="S15" s="21" t="s">
        <v>34</v>
      </c>
      <c r="T15" s="21" t="s">
        <v>34</v>
      </c>
      <c r="U15" s="21" t="s">
        <v>34</v>
      </c>
      <c r="V15" s="21" t="s">
        <v>34</v>
      </c>
    </row>
    <row r="16" spans="1:22">
      <c r="A16" s="1">
        <f t="shared" si="0"/>
        <v>2005</v>
      </c>
      <c r="B16" s="21" t="s">
        <v>34</v>
      </c>
      <c r="C16" s="21">
        <v>1.512</v>
      </c>
      <c r="D16" s="21">
        <v>1.2350000000000001</v>
      </c>
      <c r="E16" s="21">
        <v>1.121</v>
      </c>
      <c r="F16" s="21">
        <v>1.079</v>
      </c>
      <c r="G16" s="21">
        <v>1.06</v>
      </c>
      <c r="H16" s="21">
        <v>1.0469999999999999</v>
      </c>
      <c r="I16" s="21">
        <v>1.042</v>
      </c>
      <c r="J16" s="21">
        <v>1.028</v>
      </c>
      <c r="K16" s="21">
        <v>1.02</v>
      </c>
      <c r="L16" s="21">
        <v>1.0149999999999999</v>
      </c>
      <c r="M16" s="21">
        <v>1.0129999999999999</v>
      </c>
      <c r="N16" s="21">
        <v>1.01</v>
      </c>
      <c r="O16" s="21">
        <v>1.01</v>
      </c>
      <c r="P16" s="21">
        <v>1.01</v>
      </c>
      <c r="Q16" s="21" t="s">
        <v>34</v>
      </c>
      <c r="R16" s="21" t="s">
        <v>34</v>
      </c>
      <c r="S16" s="21" t="s">
        <v>34</v>
      </c>
      <c r="T16" s="21" t="s">
        <v>34</v>
      </c>
      <c r="U16" s="21" t="s">
        <v>34</v>
      </c>
      <c r="V16" s="21" t="s">
        <v>34</v>
      </c>
    </row>
    <row r="17" spans="1:22">
      <c r="A17" s="1">
        <f t="shared" si="0"/>
        <v>2006</v>
      </c>
      <c r="B17" s="21">
        <v>2.8660000000000001</v>
      </c>
      <c r="C17" s="21">
        <v>1.5389999999999999</v>
      </c>
      <c r="D17" s="21">
        <v>1.2290000000000001</v>
      </c>
      <c r="E17" s="21">
        <v>1.135</v>
      </c>
      <c r="F17" s="21">
        <v>1.0900000000000001</v>
      </c>
      <c r="G17" s="21">
        <v>1.0680000000000001</v>
      </c>
      <c r="H17" s="21">
        <v>1.05</v>
      </c>
      <c r="I17" s="21">
        <v>1.0349999999999999</v>
      </c>
      <c r="J17" s="21">
        <v>1.026</v>
      </c>
      <c r="K17" s="21">
        <v>1.018</v>
      </c>
      <c r="L17" s="21">
        <v>1.016</v>
      </c>
      <c r="M17" s="21">
        <v>1.012</v>
      </c>
      <c r="N17" s="21">
        <v>1.0109999999999999</v>
      </c>
      <c r="O17" s="21">
        <v>1.0089999999999999</v>
      </c>
      <c r="P17" s="21" t="s">
        <v>34</v>
      </c>
      <c r="Q17" s="21" t="s">
        <v>34</v>
      </c>
      <c r="R17" s="21" t="s">
        <v>34</v>
      </c>
      <c r="S17" s="21" t="s">
        <v>34</v>
      </c>
      <c r="T17" s="21" t="s">
        <v>34</v>
      </c>
      <c r="U17" s="21" t="s">
        <v>34</v>
      </c>
      <c r="V17" s="21" t="s">
        <v>34</v>
      </c>
    </row>
    <row r="18" spans="1:22">
      <c r="A18" s="1">
        <f t="shared" si="0"/>
        <v>2007</v>
      </c>
      <c r="B18" s="21">
        <v>2.9049999999999998</v>
      </c>
      <c r="C18" s="21">
        <v>1.5469999999999999</v>
      </c>
      <c r="D18" s="21">
        <v>1.246</v>
      </c>
      <c r="E18" s="21">
        <v>1.1399999999999999</v>
      </c>
      <c r="F18" s="21">
        <v>1.0920000000000001</v>
      </c>
      <c r="G18" s="21">
        <v>1.0660000000000001</v>
      </c>
      <c r="H18" s="21">
        <v>1.046</v>
      </c>
      <c r="I18" s="21">
        <v>1.0329999999999999</v>
      </c>
      <c r="J18" s="21">
        <v>1.0269999999999999</v>
      </c>
      <c r="K18" s="21">
        <v>1.02</v>
      </c>
      <c r="L18" s="21">
        <v>1.016</v>
      </c>
      <c r="M18" s="21">
        <v>1.0129999999999999</v>
      </c>
      <c r="N18" s="21">
        <v>1.0129999999999999</v>
      </c>
      <c r="O18" s="21" t="s">
        <v>34</v>
      </c>
      <c r="P18" s="21" t="s">
        <v>34</v>
      </c>
      <c r="Q18" s="21" t="s">
        <v>34</v>
      </c>
      <c r="R18" s="21" t="s">
        <v>34</v>
      </c>
      <c r="S18" s="21" t="s">
        <v>34</v>
      </c>
      <c r="T18" s="21" t="s">
        <v>34</v>
      </c>
      <c r="U18" s="21" t="s">
        <v>34</v>
      </c>
      <c r="V18" s="21" t="s">
        <v>34</v>
      </c>
    </row>
    <row r="19" spans="1:22">
      <c r="A19" s="1">
        <f t="shared" si="0"/>
        <v>2008</v>
      </c>
      <c r="B19" s="21">
        <v>2.927</v>
      </c>
      <c r="C19" s="21">
        <v>1.577</v>
      </c>
      <c r="D19" s="21">
        <v>1.2709999999999999</v>
      </c>
      <c r="E19" s="21">
        <v>1.1499999999999999</v>
      </c>
      <c r="F19" s="21">
        <v>1.0920000000000001</v>
      </c>
      <c r="G19" s="21">
        <v>1.06</v>
      </c>
      <c r="H19" s="21">
        <v>1.0409999999999999</v>
      </c>
      <c r="I19" s="21">
        <v>1.0269999999999999</v>
      </c>
      <c r="J19" s="21">
        <v>1.0229999999999999</v>
      </c>
      <c r="K19" s="21">
        <v>1.018</v>
      </c>
      <c r="L19" s="21">
        <v>1.0149999999999999</v>
      </c>
      <c r="M19" s="21">
        <v>1.01</v>
      </c>
      <c r="N19" s="21" t="s">
        <v>34</v>
      </c>
      <c r="O19" s="21" t="s">
        <v>34</v>
      </c>
      <c r="P19" s="21" t="s">
        <v>34</v>
      </c>
      <c r="Q19" s="21" t="s">
        <v>34</v>
      </c>
      <c r="R19" s="21" t="s">
        <v>34</v>
      </c>
      <c r="S19" s="21" t="s">
        <v>34</v>
      </c>
      <c r="T19" s="21" t="s">
        <v>34</v>
      </c>
      <c r="U19" s="21" t="s">
        <v>34</v>
      </c>
      <c r="V19" s="21" t="s">
        <v>34</v>
      </c>
    </row>
    <row r="20" spans="1:22">
      <c r="A20" s="1">
        <f t="shared" si="0"/>
        <v>2009</v>
      </c>
      <c r="B20" s="21">
        <v>3.069</v>
      </c>
      <c r="C20" s="21">
        <v>1.6160000000000001</v>
      </c>
      <c r="D20" s="21">
        <v>1.28</v>
      </c>
      <c r="E20" s="21">
        <v>1.1559999999999999</v>
      </c>
      <c r="F20" s="21">
        <v>1.0920000000000001</v>
      </c>
      <c r="G20" s="21">
        <v>1.0609999999999999</v>
      </c>
      <c r="H20" s="21">
        <v>1.0429999999999999</v>
      </c>
      <c r="I20" s="21">
        <v>1.0309999999999999</v>
      </c>
      <c r="J20" s="21">
        <v>1.0229999999999999</v>
      </c>
      <c r="K20" s="21">
        <v>1.0189999999999999</v>
      </c>
      <c r="L20" s="21">
        <v>1.0109999999999999</v>
      </c>
      <c r="M20" s="21" t="s">
        <v>34</v>
      </c>
      <c r="N20" s="21" t="s">
        <v>34</v>
      </c>
      <c r="O20" s="21" t="s">
        <v>34</v>
      </c>
      <c r="P20" s="21" t="s">
        <v>34</v>
      </c>
      <c r="Q20" s="21" t="s">
        <v>34</v>
      </c>
      <c r="R20" s="21" t="s">
        <v>34</v>
      </c>
      <c r="S20" s="21" t="s">
        <v>34</v>
      </c>
      <c r="T20" s="21" t="s">
        <v>34</v>
      </c>
      <c r="U20" s="21" t="s">
        <v>34</v>
      </c>
      <c r="V20" s="21" t="s">
        <v>34</v>
      </c>
    </row>
    <row r="21" spans="1:22">
      <c r="A21" s="1">
        <f t="shared" si="0"/>
        <v>2010</v>
      </c>
      <c r="B21" s="21">
        <v>3.157</v>
      </c>
      <c r="C21" s="21">
        <v>1.6279999999999999</v>
      </c>
      <c r="D21" s="21">
        <v>1.2809999999999999</v>
      </c>
      <c r="E21" s="21">
        <v>1.147</v>
      </c>
      <c r="F21" s="21">
        <v>1.091</v>
      </c>
      <c r="G21" s="21">
        <v>1.06</v>
      </c>
      <c r="H21" s="21">
        <v>1.038</v>
      </c>
      <c r="I21" s="21">
        <v>1.0269999999999999</v>
      </c>
      <c r="J21" s="21">
        <v>1.0209999999999999</v>
      </c>
      <c r="K21" s="21">
        <v>1.0129999999999999</v>
      </c>
      <c r="L21" s="21" t="s">
        <v>34</v>
      </c>
      <c r="M21" s="21" t="s">
        <v>34</v>
      </c>
      <c r="N21" s="21" t="s">
        <v>34</v>
      </c>
      <c r="O21" s="21" t="s">
        <v>34</v>
      </c>
      <c r="P21" s="21" t="s">
        <v>34</v>
      </c>
      <c r="Q21" s="21" t="s">
        <v>34</v>
      </c>
      <c r="R21" s="21" t="s">
        <v>34</v>
      </c>
      <c r="S21" s="21" t="s">
        <v>34</v>
      </c>
      <c r="T21" s="21" t="s">
        <v>34</v>
      </c>
      <c r="U21" s="21" t="s">
        <v>34</v>
      </c>
      <c r="V21" s="21" t="s">
        <v>34</v>
      </c>
    </row>
    <row r="22" spans="1:22">
      <c r="A22" s="1">
        <f t="shared" si="0"/>
        <v>2011</v>
      </c>
      <c r="B22" s="21">
        <v>3.2080000000000002</v>
      </c>
      <c r="C22" s="21">
        <v>1.613</v>
      </c>
      <c r="D22" s="21">
        <v>1.266</v>
      </c>
      <c r="E22" s="21">
        <v>1.1439999999999999</v>
      </c>
      <c r="F22" s="21">
        <v>1.087</v>
      </c>
      <c r="G22" s="21">
        <v>1.056</v>
      </c>
      <c r="H22" s="21">
        <v>1.0409999999999999</v>
      </c>
      <c r="I22" s="21">
        <v>1.026</v>
      </c>
      <c r="J22" s="21">
        <v>1.016</v>
      </c>
      <c r="K22" s="21" t="s">
        <v>34</v>
      </c>
      <c r="L22" s="21" t="s">
        <v>34</v>
      </c>
      <c r="M22" s="21" t="s">
        <v>34</v>
      </c>
      <c r="N22" s="21" t="s">
        <v>34</v>
      </c>
      <c r="O22" s="21" t="s">
        <v>34</v>
      </c>
      <c r="P22" s="21" t="s">
        <v>34</v>
      </c>
      <c r="Q22" s="21" t="s">
        <v>34</v>
      </c>
      <c r="R22" s="21" t="s">
        <v>34</v>
      </c>
      <c r="S22" s="21" t="s">
        <v>34</v>
      </c>
      <c r="T22" s="21" t="s">
        <v>34</v>
      </c>
      <c r="U22" s="21" t="s">
        <v>34</v>
      </c>
      <c r="V22" s="21" t="s">
        <v>34</v>
      </c>
    </row>
    <row r="23" spans="1:22">
      <c r="A23" s="1">
        <f t="shared" si="0"/>
        <v>2012</v>
      </c>
      <c r="B23" s="21">
        <v>3.137</v>
      </c>
      <c r="C23" s="21">
        <v>1.597</v>
      </c>
      <c r="D23" s="21">
        <v>1.262</v>
      </c>
      <c r="E23" s="21">
        <v>1.137</v>
      </c>
      <c r="F23" s="21">
        <v>1.087</v>
      </c>
      <c r="G23" s="21">
        <v>1.0509999999999999</v>
      </c>
      <c r="H23" s="21">
        <v>1.034</v>
      </c>
      <c r="I23" s="21">
        <v>1.0229999999999999</v>
      </c>
      <c r="J23" s="21" t="s">
        <v>34</v>
      </c>
      <c r="K23" s="21" t="s">
        <v>34</v>
      </c>
      <c r="L23" s="21" t="s">
        <v>34</v>
      </c>
      <c r="M23" s="21" t="s">
        <v>34</v>
      </c>
      <c r="N23" s="21" t="s">
        <v>34</v>
      </c>
      <c r="O23" s="21" t="s">
        <v>34</v>
      </c>
      <c r="P23" s="21" t="s">
        <v>34</v>
      </c>
      <c r="Q23" s="21" t="s">
        <v>34</v>
      </c>
      <c r="R23" s="21" t="s">
        <v>34</v>
      </c>
      <c r="S23" s="21" t="s">
        <v>34</v>
      </c>
      <c r="T23" s="21" t="s">
        <v>34</v>
      </c>
      <c r="U23" s="21" t="s">
        <v>34</v>
      </c>
      <c r="V23" s="21" t="s">
        <v>34</v>
      </c>
    </row>
    <row r="24" spans="1:22">
      <c r="A24" s="1">
        <f t="shared" si="0"/>
        <v>2013</v>
      </c>
      <c r="B24" s="21">
        <v>3.169</v>
      </c>
      <c r="C24" s="21">
        <v>1.6060000000000001</v>
      </c>
      <c r="D24" s="21">
        <v>1.26</v>
      </c>
      <c r="E24" s="21">
        <v>1.129</v>
      </c>
      <c r="F24" s="21">
        <v>1.0720000000000001</v>
      </c>
      <c r="G24" s="21">
        <v>1.044</v>
      </c>
      <c r="H24" s="21">
        <v>1.028</v>
      </c>
      <c r="I24" s="21" t="s">
        <v>34</v>
      </c>
      <c r="J24" s="21" t="s">
        <v>34</v>
      </c>
      <c r="K24" s="21" t="s">
        <v>34</v>
      </c>
      <c r="L24" s="21" t="s">
        <v>34</v>
      </c>
      <c r="M24" s="21" t="s">
        <v>34</v>
      </c>
      <c r="N24" s="21" t="s">
        <v>34</v>
      </c>
      <c r="O24" s="21" t="s">
        <v>34</v>
      </c>
      <c r="P24" s="21" t="s">
        <v>34</v>
      </c>
      <c r="Q24" s="21" t="s">
        <v>34</v>
      </c>
      <c r="R24" s="21" t="s">
        <v>34</v>
      </c>
      <c r="S24" s="21" t="s">
        <v>34</v>
      </c>
      <c r="T24" s="21" t="s">
        <v>34</v>
      </c>
      <c r="U24" s="21" t="s">
        <v>34</v>
      </c>
      <c r="V24" s="21" t="s">
        <v>34</v>
      </c>
    </row>
    <row r="25" spans="1:22">
      <c r="A25" s="1">
        <f t="shared" si="0"/>
        <v>2014</v>
      </c>
      <c r="B25" s="21">
        <v>3.2290000000000001</v>
      </c>
      <c r="C25" s="21">
        <v>1.635</v>
      </c>
      <c r="D25" s="21">
        <v>1.2569999999999999</v>
      </c>
      <c r="E25" s="21">
        <v>1.129</v>
      </c>
      <c r="F25" s="21">
        <v>1.071</v>
      </c>
      <c r="G25" s="21">
        <v>1.0389999999999999</v>
      </c>
      <c r="H25" s="21" t="s">
        <v>34</v>
      </c>
      <c r="I25" s="21" t="s">
        <v>34</v>
      </c>
      <c r="J25" s="21" t="s">
        <v>34</v>
      </c>
      <c r="K25" s="21" t="s">
        <v>34</v>
      </c>
      <c r="L25" s="21" t="s">
        <v>34</v>
      </c>
      <c r="M25" s="21" t="s">
        <v>34</v>
      </c>
      <c r="N25" s="21" t="s">
        <v>34</v>
      </c>
      <c r="O25" s="21" t="s">
        <v>34</v>
      </c>
      <c r="P25" s="21" t="s">
        <v>34</v>
      </c>
      <c r="Q25" s="21" t="s">
        <v>34</v>
      </c>
      <c r="R25" s="21" t="s">
        <v>34</v>
      </c>
      <c r="S25" s="21" t="s">
        <v>34</v>
      </c>
      <c r="T25" s="21" t="s">
        <v>34</v>
      </c>
      <c r="U25" s="21" t="s">
        <v>34</v>
      </c>
      <c r="V25" s="21" t="s">
        <v>34</v>
      </c>
    </row>
    <row r="26" spans="1:22">
      <c r="A26" s="1">
        <f t="shared" si="0"/>
        <v>2015</v>
      </c>
      <c r="B26" s="21">
        <v>3.278</v>
      </c>
      <c r="C26" s="21">
        <v>1.6180000000000001</v>
      </c>
      <c r="D26" s="21">
        <v>1.244</v>
      </c>
      <c r="E26" s="21">
        <v>1.119</v>
      </c>
      <c r="F26" s="21">
        <v>1.0580000000000001</v>
      </c>
      <c r="G26" s="21" t="s">
        <v>34</v>
      </c>
      <c r="H26" s="21" t="s">
        <v>34</v>
      </c>
      <c r="I26" s="21" t="s">
        <v>34</v>
      </c>
      <c r="J26" s="21" t="s">
        <v>34</v>
      </c>
      <c r="K26" s="21" t="s">
        <v>34</v>
      </c>
      <c r="L26" s="21" t="s">
        <v>34</v>
      </c>
      <c r="M26" s="21" t="s">
        <v>34</v>
      </c>
      <c r="N26" s="21" t="s">
        <v>34</v>
      </c>
      <c r="O26" s="21" t="s">
        <v>34</v>
      </c>
      <c r="P26" s="21" t="s">
        <v>34</v>
      </c>
      <c r="Q26" s="21" t="s">
        <v>34</v>
      </c>
      <c r="R26" s="21" t="s">
        <v>34</v>
      </c>
      <c r="S26" s="21" t="s">
        <v>34</v>
      </c>
      <c r="T26" s="21" t="s">
        <v>34</v>
      </c>
      <c r="U26" s="21" t="s">
        <v>34</v>
      </c>
      <c r="V26" s="21" t="s">
        <v>34</v>
      </c>
    </row>
    <row r="27" spans="1:22">
      <c r="A27" s="1">
        <f t="shared" si="0"/>
        <v>2016</v>
      </c>
      <c r="B27" s="21">
        <v>3.2349999999999999</v>
      </c>
      <c r="C27" s="21">
        <v>1.5860000000000001</v>
      </c>
      <c r="D27" s="21">
        <v>1.23</v>
      </c>
      <c r="E27" s="21">
        <v>1.103</v>
      </c>
      <c r="F27" s="21" t="s">
        <v>34</v>
      </c>
      <c r="G27" s="21" t="s">
        <v>34</v>
      </c>
      <c r="H27" s="21" t="s">
        <v>34</v>
      </c>
      <c r="I27" s="21" t="s">
        <v>34</v>
      </c>
      <c r="J27" s="21" t="s">
        <v>34</v>
      </c>
      <c r="K27" s="21" t="s">
        <v>34</v>
      </c>
      <c r="L27" s="21" t="s">
        <v>34</v>
      </c>
      <c r="M27" s="21" t="s">
        <v>34</v>
      </c>
      <c r="N27" s="21" t="s">
        <v>34</v>
      </c>
      <c r="O27" s="21" t="s">
        <v>34</v>
      </c>
      <c r="P27" s="21" t="s">
        <v>34</v>
      </c>
      <c r="Q27" s="21" t="s">
        <v>34</v>
      </c>
      <c r="R27" s="21" t="s">
        <v>34</v>
      </c>
      <c r="S27" s="21" t="s">
        <v>34</v>
      </c>
      <c r="T27" s="21" t="s">
        <v>34</v>
      </c>
      <c r="U27" s="21" t="s">
        <v>34</v>
      </c>
      <c r="V27" s="21" t="s">
        <v>34</v>
      </c>
    </row>
    <row r="28" spans="1:22">
      <c r="A28" s="1">
        <f t="shared" si="0"/>
        <v>2017</v>
      </c>
      <c r="B28" s="21">
        <v>3.1850000000000001</v>
      </c>
      <c r="C28" s="21">
        <v>1.569</v>
      </c>
      <c r="D28" s="21">
        <v>1.21</v>
      </c>
      <c r="E28" s="21" t="s">
        <v>34</v>
      </c>
      <c r="F28" s="21" t="s">
        <v>34</v>
      </c>
      <c r="G28" s="21" t="s">
        <v>34</v>
      </c>
      <c r="H28" s="21" t="s">
        <v>34</v>
      </c>
      <c r="I28" s="21" t="s">
        <v>34</v>
      </c>
      <c r="J28" s="21" t="s">
        <v>34</v>
      </c>
      <c r="K28" s="21" t="s">
        <v>34</v>
      </c>
      <c r="L28" s="21" t="s">
        <v>34</v>
      </c>
      <c r="M28" s="21" t="s">
        <v>34</v>
      </c>
      <c r="N28" s="21" t="s">
        <v>34</v>
      </c>
      <c r="O28" s="21" t="s">
        <v>34</v>
      </c>
      <c r="P28" s="21" t="s">
        <v>34</v>
      </c>
      <c r="Q28" s="21" t="s">
        <v>34</v>
      </c>
      <c r="R28" s="21" t="s">
        <v>34</v>
      </c>
      <c r="S28" s="21" t="s">
        <v>34</v>
      </c>
      <c r="T28" s="21" t="s">
        <v>34</v>
      </c>
      <c r="U28" s="21" t="s">
        <v>34</v>
      </c>
      <c r="V28" s="21" t="s">
        <v>34</v>
      </c>
    </row>
    <row r="29" spans="1:22">
      <c r="A29" s="1">
        <f t="shared" si="0"/>
        <v>2018</v>
      </c>
      <c r="B29" s="21">
        <v>3.11</v>
      </c>
      <c r="C29" s="21">
        <v>1.526</v>
      </c>
      <c r="D29" s="21" t="s">
        <v>34</v>
      </c>
      <c r="E29" s="21" t="s">
        <v>34</v>
      </c>
      <c r="F29" s="21" t="s">
        <v>34</v>
      </c>
      <c r="G29" s="21" t="s">
        <v>34</v>
      </c>
      <c r="H29" s="21" t="s">
        <v>34</v>
      </c>
      <c r="I29" s="21" t="s">
        <v>34</v>
      </c>
      <c r="J29" s="21" t="s">
        <v>34</v>
      </c>
      <c r="K29" s="21" t="s">
        <v>34</v>
      </c>
      <c r="L29" s="21" t="s">
        <v>34</v>
      </c>
      <c r="M29" s="21" t="s">
        <v>34</v>
      </c>
      <c r="N29" s="21" t="s">
        <v>34</v>
      </c>
      <c r="O29" s="21" t="s">
        <v>34</v>
      </c>
      <c r="P29" s="21" t="s">
        <v>34</v>
      </c>
      <c r="Q29" s="21" t="s">
        <v>34</v>
      </c>
      <c r="R29" s="21" t="s">
        <v>34</v>
      </c>
      <c r="S29" s="21" t="s">
        <v>34</v>
      </c>
      <c r="T29" s="21" t="s">
        <v>34</v>
      </c>
      <c r="U29" s="21" t="s">
        <v>34</v>
      </c>
      <c r="V29" s="21" t="s">
        <v>34</v>
      </c>
    </row>
    <row r="30" spans="1:22">
      <c r="A30" s="1">
        <f>'Exhibit 2.4.1'!A29</f>
        <v>2019</v>
      </c>
      <c r="B30" s="21">
        <v>3.0630000000000002</v>
      </c>
      <c r="C30" s="21" t="s">
        <v>34</v>
      </c>
      <c r="D30" s="21" t="s">
        <v>34</v>
      </c>
      <c r="E30" s="21" t="s">
        <v>34</v>
      </c>
      <c r="F30" s="21" t="s">
        <v>34</v>
      </c>
      <c r="G30" s="21" t="s">
        <v>34</v>
      </c>
      <c r="H30" s="21" t="s">
        <v>34</v>
      </c>
      <c r="I30" s="21" t="s">
        <v>34</v>
      </c>
      <c r="J30" s="21" t="s">
        <v>34</v>
      </c>
      <c r="K30" s="21" t="s">
        <v>34</v>
      </c>
      <c r="L30" s="21" t="s">
        <v>34</v>
      </c>
      <c r="M30" s="21" t="s">
        <v>34</v>
      </c>
      <c r="N30" s="21" t="s">
        <v>34</v>
      </c>
      <c r="O30" s="21" t="s">
        <v>34</v>
      </c>
      <c r="P30" s="21" t="s">
        <v>34</v>
      </c>
      <c r="Q30" s="21" t="s">
        <v>34</v>
      </c>
      <c r="R30" s="21" t="s">
        <v>34</v>
      </c>
      <c r="S30" s="21" t="s">
        <v>34</v>
      </c>
      <c r="T30" s="21" t="s">
        <v>34</v>
      </c>
      <c r="U30" s="21" t="s">
        <v>34</v>
      </c>
      <c r="V30" s="21" t="s">
        <v>34</v>
      </c>
    </row>
    <row r="31" spans="1:22">
      <c r="A31" s="17"/>
      <c r="B31" s="17"/>
      <c r="C31" s="17"/>
      <c r="D31" s="17"/>
      <c r="E31" s="17"/>
      <c r="F31" s="17"/>
      <c r="G31" s="17"/>
      <c r="H31" s="17"/>
      <c r="I31" s="17"/>
      <c r="J31" s="17"/>
      <c r="K31" s="17"/>
      <c r="L31" s="17"/>
      <c r="M31" s="17"/>
      <c r="N31" s="17"/>
      <c r="O31" s="17"/>
      <c r="P31" s="17"/>
      <c r="Q31" s="23"/>
      <c r="R31" s="23"/>
      <c r="S31" s="17"/>
      <c r="T31" s="44"/>
      <c r="U31" s="44"/>
      <c r="V31" s="44"/>
    </row>
    <row r="32" spans="1:22">
      <c r="A32" s="1" t="s">
        <v>20</v>
      </c>
      <c r="B32" s="16" t="str">
        <f t="shared" ref="B32:G32" si="1">TEXT(INDEX($B$40:$H$40,MATCH(B$4,$B$41:$H$41,0)),"0.000")&amp;"(b)"</f>
        <v>3.060(b)</v>
      </c>
      <c r="C32" s="16" t="str">
        <f t="shared" si="1"/>
        <v>1.568(b)</v>
      </c>
      <c r="D32" s="16" t="str">
        <f t="shared" si="1"/>
        <v>1.230(b)</v>
      </c>
      <c r="E32" s="16" t="str">
        <f t="shared" si="1"/>
        <v>1.105(b)</v>
      </c>
      <c r="F32" s="16" t="str">
        <f t="shared" si="1"/>
        <v>1.058(b)</v>
      </c>
      <c r="G32" s="16" t="str">
        <f t="shared" si="1"/>
        <v>1.036(b)</v>
      </c>
      <c r="H32" s="376">
        <f>AVERAGE(H23:H24)</f>
        <v>1.0310000000000001</v>
      </c>
      <c r="I32" s="376">
        <f>AVERAGE(I22:I23)</f>
        <v>1.0245</v>
      </c>
      <c r="J32" s="16">
        <f ca="1">AVERAGE(OFFSET(J$29:J$31,-COUNTA($B$4:J$4),0))</f>
        <v>1.0199999999999998</v>
      </c>
      <c r="K32" s="16">
        <f ca="1">AVERAGE(OFFSET(K$29:K$31,-COUNTA($B$4:K$4),0))</f>
        <v>1.0166666666666666</v>
      </c>
      <c r="L32" s="16">
        <f ca="1">AVERAGE(OFFSET(L$29:L$31,-COUNTA($B$4:L$4),0))</f>
        <v>1.014</v>
      </c>
      <c r="M32" s="16">
        <f ca="1">AVERAGE(OFFSET(M$29:M$31,-COUNTA($B$4:M$4),0))</f>
        <v>1.0116666666666667</v>
      </c>
      <c r="N32" s="16">
        <f ca="1">AVERAGE(OFFSET(N$29:N$31,-COUNTA($B$4:N$4),0))</f>
        <v>1.0113333333333332</v>
      </c>
      <c r="O32" s="16">
        <f ca="1">AVERAGE(OFFSET(O$29:O$31,-COUNTA($B$4:O$4),0))</f>
        <v>1.0089999999999999</v>
      </c>
      <c r="P32" s="16">
        <f ca="1">AVERAGE(OFFSET(P$29:P$31,-COUNTA($B$4:P$4),0))</f>
        <v>1.0086666666666666</v>
      </c>
      <c r="Q32" s="16">
        <f ca="1">AVERAGE(OFFSET(Q$29:Q$31,-COUNTA($B$4:Q$4),0))</f>
        <v>1.006</v>
      </c>
      <c r="R32" s="16">
        <f ca="1">AVERAGE(OFFSET(R$29:R$31,-COUNTA($B$4:R$4),0))</f>
        <v>1.0056666666666665</v>
      </c>
      <c r="S32" s="16">
        <f ca="1">AVERAGE(OFFSET(S$29:S$31,-COUNTA($B$4:S$4),0))</f>
        <v>1.0043333333333333</v>
      </c>
      <c r="T32" s="16">
        <f ca="1">AVERAGE(OFFSET(T$29:T$31,-COUNTA($B$4:T$4),0))</f>
        <v>1.0033333333333332</v>
      </c>
      <c r="U32" s="16">
        <f ca="1">AVERAGE(OFFSET(U$29:U$31,-COUNTA($B$4:U$4),0))</f>
        <v>1.0026666666666666</v>
      </c>
      <c r="V32" s="16">
        <f ca="1">AVERAGE(OFFSET(V$29:V$31,-COUNTA($B$4:V$4),0))</f>
        <v>1.0026666666666666</v>
      </c>
    </row>
    <row r="33" spans="1:22">
      <c r="A33" s="1" t="s">
        <v>21</v>
      </c>
      <c r="B33" s="250">
        <f t="shared" ref="B33:G33" ca="1" si="2">INDEX($B$40:$H$40,MATCH(B$4,$B$41:$H$41,0))*C33</f>
        <v>8.6284905983627507</v>
      </c>
      <c r="C33" s="250">
        <f t="shared" ca="1" si="2"/>
        <v>2.8196137903891856</v>
      </c>
      <c r="D33" s="250">
        <f t="shared" ca="1" si="2"/>
        <v>1.7985917124471071</v>
      </c>
      <c r="E33" s="250">
        <f t="shared" ca="1" si="2"/>
        <v>1.4619652823444655</v>
      </c>
      <c r="F33" s="250">
        <f t="shared" ca="1" si="2"/>
        <v>1.3235392816012683</v>
      </c>
      <c r="G33" s="250">
        <f t="shared" ca="1" si="2"/>
        <v>1.2511722950224942</v>
      </c>
      <c r="H33" s="16">
        <f t="shared" ref="H33:U33" ca="1" si="3">H32*I33</f>
        <v>1.207737642640301</v>
      </c>
      <c r="I33" s="16">
        <f t="shared" ca="1" si="3"/>
        <v>1.1714235137151319</v>
      </c>
      <c r="J33" s="16">
        <f t="shared" ca="1" si="3"/>
        <v>1.1434099694632816</v>
      </c>
      <c r="K33" s="16">
        <f t="shared" ca="1" si="3"/>
        <v>1.1209901661404724</v>
      </c>
      <c r="L33" s="16">
        <f t="shared" ca="1" si="3"/>
        <v>1.1026132781709566</v>
      </c>
      <c r="M33" s="16">
        <f t="shared" ca="1" si="3"/>
        <v>1.0873898206814168</v>
      </c>
      <c r="N33" s="16">
        <f t="shared" ca="1" si="3"/>
        <v>1.074849905121664</v>
      </c>
      <c r="O33" s="16">
        <f t="shared" ca="1" si="3"/>
        <v>1.0628047842336825</v>
      </c>
      <c r="P33" s="16">
        <f t="shared" ca="1" si="3"/>
        <v>1.0533248604892791</v>
      </c>
      <c r="Q33" s="16">
        <f t="shared" ca="1" si="3"/>
        <v>1.0442744816483269</v>
      </c>
      <c r="R33" s="16">
        <f t="shared" ca="1" si="3"/>
        <v>1.0380462044217962</v>
      </c>
      <c r="S33" s="16">
        <f t="shared" ca="1" si="3"/>
        <v>1.0321970875921078</v>
      </c>
      <c r="T33" s="16">
        <f t="shared" ca="1" si="3"/>
        <v>1.0277435322855373</v>
      </c>
      <c r="U33" s="16">
        <f t="shared" ca="1" si="3"/>
        <v>1.0243291019457184</v>
      </c>
      <c r="V33" s="16">
        <f ca="1">'Exhibit 2.5.2'!B25*'Exhibit 2.5.1'!V32</f>
        <v>1.0216048224192671</v>
      </c>
    </row>
    <row r="34" spans="1:22">
      <c r="A34" s="17"/>
      <c r="B34" s="17"/>
      <c r="C34" s="17"/>
      <c r="D34" s="17"/>
      <c r="E34" s="17"/>
      <c r="F34" s="17"/>
      <c r="G34" s="17"/>
      <c r="H34" s="17"/>
      <c r="I34" s="17"/>
      <c r="J34" s="17"/>
      <c r="K34" s="17"/>
      <c r="L34" s="17"/>
      <c r="M34" s="17"/>
      <c r="N34" s="17"/>
      <c r="O34" s="17"/>
      <c r="P34" s="17"/>
      <c r="Q34" s="17"/>
      <c r="R34" s="17"/>
      <c r="S34" s="17"/>
      <c r="T34" s="44"/>
      <c r="U34" s="44"/>
      <c r="V34" s="44"/>
    </row>
    <row r="35" spans="1:22" ht="12.75" customHeight="1">
      <c r="A35" s="24" t="s">
        <v>22</v>
      </c>
      <c r="B35" s="309" t="s">
        <v>515</v>
      </c>
      <c r="C35" s="309"/>
      <c r="D35" s="309"/>
      <c r="E35" s="309"/>
      <c r="F35" s="309"/>
      <c r="G35" s="309"/>
      <c r="H35" s="309"/>
      <c r="I35" s="309"/>
      <c r="J35" s="309"/>
      <c r="K35" s="309"/>
      <c r="L35" s="309"/>
      <c r="M35" s="309"/>
      <c r="N35" s="309"/>
      <c r="O35" s="309"/>
      <c r="P35" s="309"/>
      <c r="Q35" s="309"/>
      <c r="R35" s="309"/>
      <c r="S35" s="309"/>
      <c r="T35" s="44"/>
      <c r="U35" s="44"/>
      <c r="V35" s="44"/>
    </row>
    <row r="36" spans="1:22" ht="12.75" customHeight="1">
      <c r="A36" s="24" t="s">
        <v>28</v>
      </c>
      <c r="B36" s="309" t="s">
        <v>523</v>
      </c>
      <c r="C36" s="309"/>
      <c r="D36" s="309"/>
      <c r="E36" s="309"/>
      <c r="F36" s="309"/>
      <c r="G36" s="309"/>
      <c r="H36" s="309"/>
      <c r="I36" s="309"/>
      <c r="J36" s="309"/>
      <c r="K36" s="309"/>
      <c r="L36" s="309"/>
      <c r="M36" s="309"/>
      <c r="N36" s="309"/>
      <c r="O36" s="309"/>
      <c r="P36" s="309"/>
      <c r="Q36" s="309"/>
      <c r="R36" s="309"/>
      <c r="S36" s="309"/>
      <c r="T36" s="44"/>
      <c r="U36" s="44"/>
      <c r="V36" s="44"/>
    </row>
    <row r="37" spans="1:22" ht="12.75" customHeight="1">
      <c r="A37" s="24"/>
      <c r="B37" s="44" t="s">
        <v>393</v>
      </c>
      <c r="C37" s="340"/>
      <c r="D37" s="340"/>
      <c r="E37" s="340"/>
      <c r="F37" s="340"/>
      <c r="G37" s="340"/>
      <c r="H37" s="340"/>
      <c r="I37" s="340"/>
      <c r="J37" s="340"/>
      <c r="K37" s="340"/>
      <c r="L37" s="340"/>
      <c r="M37" s="340"/>
      <c r="N37" s="340"/>
      <c r="O37" s="340"/>
      <c r="P37" s="340"/>
      <c r="Q37" s="340"/>
      <c r="R37" s="340"/>
      <c r="S37" s="340"/>
      <c r="T37" s="44"/>
      <c r="U37" s="44"/>
      <c r="V37" s="44"/>
    </row>
    <row r="38" spans="1:22" ht="12.75" customHeight="1">
      <c r="A38" s="44"/>
      <c r="B38" s="44"/>
      <c r="C38" s="16"/>
      <c r="D38" s="44"/>
      <c r="E38" s="44"/>
      <c r="F38" s="44"/>
      <c r="G38" s="44"/>
      <c r="H38" s="44"/>
      <c r="I38" s="44"/>
      <c r="J38" s="44"/>
      <c r="K38" s="44"/>
      <c r="L38" s="44"/>
      <c r="M38" s="44"/>
      <c r="N38" s="44"/>
      <c r="O38" s="44"/>
      <c r="P38" s="44"/>
      <c r="Q38" s="44"/>
      <c r="R38" s="44"/>
      <c r="S38" s="44"/>
      <c r="T38" s="44"/>
      <c r="U38" s="44"/>
      <c r="V38" s="44"/>
    </row>
    <row r="39" spans="1:22">
      <c r="A39" s="44"/>
      <c r="B39" s="16" t="str">
        <f>'Exhibits 2.5.3 - 2.5.8'!D$322</f>
        <v>12-24</v>
      </c>
      <c r="C39" s="16" t="str">
        <f>'Exhibits 2.5.3 - 2.5.8'!E$322</f>
        <v>24-36</v>
      </c>
      <c r="D39" s="16" t="str">
        <f>'Exhibits 2.5.3 - 2.5.8'!F$322</f>
        <v>36-48</v>
      </c>
      <c r="E39" s="16" t="str">
        <f>'Exhibits 2.5.3 - 2.5.8'!G$322</f>
        <v>48-60</v>
      </c>
      <c r="F39" s="16" t="str">
        <f>'Exhibits 2.5.3 - 2.5.8'!H$322</f>
        <v>60-72</v>
      </c>
      <c r="G39" s="16" t="str">
        <f>'Exhibits 2.5.3 - 2.5.8'!I$322</f>
        <v>72-84</v>
      </c>
      <c r="H39" s="16"/>
      <c r="I39" s="16"/>
      <c r="J39" s="16"/>
      <c r="K39" s="16"/>
      <c r="L39" s="16"/>
      <c r="M39" s="16"/>
      <c r="N39" s="16"/>
      <c r="O39" s="16"/>
      <c r="P39" s="16"/>
      <c r="Q39" s="16"/>
      <c r="R39" s="16"/>
      <c r="S39" s="16"/>
      <c r="T39" s="16"/>
      <c r="U39" s="44"/>
      <c r="V39" s="44"/>
    </row>
    <row r="40" spans="1:22">
      <c r="A40" s="337" t="str">
        <f>'Exhibits 2.5.3 - 2.5.8'!C$334</f>
        <v>2-Year Average</v>
      </c>
      <c r="B40" s="16">
        <f>'Exhibits 2.5.3 - 2.5.8'!D$334</f>
        <v>3.0601675405949047</v>
      </c>
      <c r="C40" s="16">
        <f>'Exhibits 2.5.3 - 2.5.8'!E$334</f>
        <v>1.5676786292720697</v>
      </c>
      <c r="D40" s="16">
        <f>'Exhibits 2.5.3 - 2.5.8'!F$334</f>
        <v>1.2302561040046136</v>
      </c>
      <c r="E40" s="16">
        <f>'Exhibits 2.5.3 - 2.5.8'!G$334</f>
        <v>1.1045877539620315</v>
      </c>
      <c r="F40" s="16">
        <f>'Exhibits 2.5.3 - 2.5.8'!H$334</f>
        <v>1.0578393454416068</v>
      </c>
      <c r="G40" s="16">
        <f>'Exhibits 2.5.3 - 2.5.8'!I$334</f>
        <v>1.0359636487666628</v>
      </c>
      <c r="H40" s="16"/>
      <c r="I40" s="16"/>
      <c r="J40" s="16"/>
      <c r="K40" s="44"/>
      <c r="L40" s="44"/>
      <c r="M40" s="44"/>
      <c r="N40" s="44"/>
      <c r="O40" s="44"/>
      <c r="P40" s="44"/>
      <c r="Q40" s="44"/>
      <c r="R40" s="44"/>
      <c r="S40" s="44"/>
      <c r="T40" s="44"/>
      <c r="U40" s="44"/>
      <c r="V40" s="44"/>
    </row>
    <row r="41" spans="1:22">
      <c r="A41" s="44"/>
      <c r="B41" s="44" t="str">
        <f t="shared" ref="B41" si="4">RIGHT(B39,2)&amp;"/"&amp;LEFT(B39,FIND("-",B39)-1)</f>
        <v>24/12</v>
      </c>
      <c r="C41" s="44" t="str">
        <f t="shared" ref="C41:F41" si="5">RIGHT(C39,2)&amp;"/"&amp;LEFT(C39,FIND("-",C39)-1)</f>
        <v>36/24</v>
      </c>
      <c r="D41" s="44" t="str">
        <f t="shared" si="5"/>
        <v>48/36</v>
      </c>
      <c r="E41" s="44" t="str">
        <f t="shared" si="5"/>
        <v>60/48</v>
      </c>
      <c r="F41" s="44" t="str">
        <f t="shared" si="5"/>
        <v>72/60</v>
      </c>
      <c r="G41" s="44" t="str">
        <f t="shared" ref="G41" si="6">RIGHT(G39,2)&amp;"/"&amp;LEFT(G39,FIND("-",G39)-1)</f>
        <v>84/72</v>
      </c>
      <c r="H41" s="44"/>
      <c r="I41" s="44"/>
      <c r="J41" s="44"/>
      <c r="K41" s="44"/>
      <c r="L41" s="44"/>
      <c r="M41" s="44"/>
      <c r="N41" s="44"/>
      <c r="O41" s="44"/>
      <c r="P41" s="44"/>
      <c r="Q41" s="44"/>
      <c r="R41" s="44"/>
      <c r="S41" s="44"/>
      <c r="T41" s="44"/>
      <c r="U41" s="44"/>
      <c r="V41" s="44"/>
    </row>
  </sheetData>
  <pageMargins left="0.7" right="0.7" top="0.75" bottom="0.75" header="0.3" footer="0.3"/>
  <pageSetup scale="67" fitToHeight="0" orientation="landscape" blackAndWhite="1" horizontalDpi="1200" verticalDpi="1200" r:id="rId1"/>
  <headerFooter scaleWithDoc="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pageSetUpPr fitToPage="1"/>
  </sheetPr>
  <dimension ref="A1:P29"/>
  <sheetViews>
    <sheetView zoomScaleNormal="100" zoomScaleSheetLayoutView="100" workbookViewId="0"/>
  </sheetViews>
  <sheetFormatPr defaultColWidth="9.1796875" defaultRowHeight="12.5"/>
  <cols>
    <col min="1" max="1" width="13.54296875" style="169" bestFit="1" customWidth="1"/>
    <col min="2" max="3" width="8" style="169" customWidth="1"/>
    <col min="4" max="4" width="9.1796875" style="169" customWidth="1"/>
    <col min="5" max="13" width="8" style="169" customWidth="1"/>
    <col min="14" max="14" width="8" style="469" customWidth="1"/>
    <col min="15" max="15" width="8" style="284" customWidth="1"/>
    <col min="16" max="16" width="14.81640625" style="169" bestFit="1" customWidth="1"/>
    <col min="17" max="16384" width="9.1796875" style="169"/>
  </cols>
  <sheetData>
    <row r="1" spans="1:16" ht="12.75" customHeight="1">
      <c r="A1" s="243" t="str">
        <f>+'Exhibit 2.5.1'!A1&amp;" (Continued)"</f>
        <v>Selected Indemnity Development Factors - Paid to Ultimate (Continued)</v>
      </c>
      <c r="B1" s="243"/>
      <c r="C1" s="243"/>
      <c r="D1" s="243"/>
      <c r="E1" s="243"/>
      <c r="F1" s="243"/>
      <c r="G1" s="243"/>
      <c r="H1" s="243"/>
      <c r="I1" s="243"/>
      <c r="J1" s="243"/>
      <c r="K1" s="243"/>
      <c r="L1" s="243"/>
      <c r="M1" s="243"/>
      <c r="N1" s="243"/>
      <c r="O1" s="243"/>
      <c r="P1" s="243"/>
    </row>
    <row r="2" spans="1:16" ht="13">
      <c r="A2" s="17"/>
      <c r="B2" s="334"/>
      <c r="C2" s="334"/>
      <c r="D2" s="334"/>
      <c r="E2" s="334"/>
      <c r="F2" s="334"/>
      <c r="G2" s="334"/>
      <c r="H2" s="334"/>
      <c r="I2" s="334"/>
      <c r="J2" s="334"/>
      <c r="K2" s="334"/>
      <c r="L2" s="16"/>
      <c r="M2" s="334"/>
      <c r="N2" s="334"/>
      <c r="O2" s="334"/>
      <c r="P2" s="334"/>
    </row>
    <row r="3" spans="1:16">
      <c r="A3" s="17"/>
      <c r="B3" s="246" t="s">
        <v>18</v>
      </c>
      <c r="C3" s="246"/>
      <c r="D3" s="246"/>
      <c r="E3" s="246"/>
      <c r="F3" s="246"/>
      <c r="G3" s="246"/>
      <c r="H3" s="246"/>
      <c r="I3" s="246"/>
      <c r="J3" s="246"/>
      <c r="K3" s="246"/>
      <c r="L3" s="246"/>
      <c r="M3" s="246"/>
      <c r="N3" s="246"/>
      <c r="O3" s="246"/>
      <c r="P3" s="246"/>
    </row>
    <row r="4" spans="1:16">
      <c r="A4" s="19" t="s">
        <v>19</v>
      </c>
      <c r="B4" s="19" t="s">
        <v>492</v>
      </c>
      <c r="C4" s="19" t="s">
        <v>493</v>
      </c>
      <c r="D4" s="19" t="s">
        <v>494</v>
      </c>
      <c r="E4" s="19" t="s">
        <v>495</v>
      </c>
      <c r="F4" s="19" t="s">
        <v>496</v>
      </c>
      <c r="G4" s="19" t="s">
        <v>497</v>
      </c>
      <c r="H4" s="19" t="s">
        <v>498</v>
      </c>
      <c r="I4" s="19" t="s">
        <v>499</v>
      </c>
      <c r="J4" s="19" t="s">
        <v>500</v>
      </c>
      <c r="K4" s="19" t="s">
        <v>501</v>
      </c>
      <c r="L4" s="19" t="s">
        <v>502</v>
      </c>
      <c r="M4" s="19" t="s">
        <v>503</v>
      </c>
      <c r="N4" s="19" t="s">
        <v>504</v>
      </c>
      <c r="O4" s="19" t="s">
        <v>505</v>
      </c>
      <c r="P4" s="19" t="s">
        <v>516</v>
      </c>
    </row>
    <row r="5" spans="1:16">
      <c r="A5" s="1">
        <f t="shared" ref="A5:A19" si="0">+A6-1</f>
        <v>1983</v>
      </c>
      <c r="B5" s="21" t="s">
        <v>34</v>
      </c>
      <c r="C5" s="21" t="s">
        <v>34</v>
      </c>
      <c r="D5" s="21">
        <v>1.002</v>
      </c>
      <c r="E5" s="21">
        <v>1.0009999999999999</v>
      </c>
      <c r="F5" s="21">
        <v>1.0009999999999999</v>
      </c>
      <c r="G5" s="21">
        <v>1.0009999999999999</v>
      </c>
      <c r="H5" s="21">
        <v>1.0009999999999999</v>
      </c>
      <c r="I5" s="21">
        <v>1.0009999999999999</v>
      </c>
      <c r="J5" s="21">
        <v>1.0009999999999999</v>
      </c>
      <c r="K5" s="21">
        <v>1.0009999999999999</v>
      </c>
      <c r="L5" s="21">
        <v>1.0009999999999999</v>
      </c>
      <c r="M5" s="21">
        <v>1.0009999999999999</v>
      </c>
      <c r="N5" s="21">
        <v>1.0009999999999999</v>
      </c>
      <c r="O5" s="21">
        <v>1.0009999999999999</v>
      </c>
      <c r="P5" s="21"/>
    </row>
    <row r="6" spans="1:16" s="469" customFormat="1">
      <c r="A6" s="1">
        <f t="shared" si="0"/>
        <v>1984</v>
      </c>
      <c r="B6" s="21" t="s">
        <v>34</v>
      </c>
      <c r="C6" s="21">
        <v>1.0009999999999999</v>
      </c>
      <c r="D6" s="21">
        <v>1.0009999999999999</v>
      </c>
      <c r="E6" s="21">
        <v>1.0009999999999999</v>
      </c>
      <c r="F6" s="21">
        <v>1.0009999999999999</v>
      </c>
      <c r="G6" s="21">
        <v>1.0009999999999999</v>
      </c>
      <c r="H6" s="21">
        <v>1.0009999999999999</v>
      </c>
      <c r="I6" s="21">
        <v>1.0009999999999999</v>
      </c>
      <c r="J6" s="21">
        <v>1.0009999999999999</v>
      </c>
      <c r="K6" s="21">
        <v>1</v>
      </c>
      <c r="L6" s="21">
        <v>1.0009999999999999</v>
      </c>
      <c r="M6" s="21">
        <v>1</v>
      </c>
      <c r="N6" s="21">
        <v>1.0009999999999999</v>
      </c>
      <c r="O6" s="21">
        <v>1.0009999999999999</v>
      </c>
      <c r="P6" s="21"/>
    </row>
    <row r="7" spans="1:16" s="290" customFormat="1">
      <c r="A7" s="1">
        <f t="shared" si="0"/>
        <v>1985</v>
      </c>
      <c r="B7" s="21">
        <v>1.0009999999999999</v>
      </c>
      <c r="C7" s="21">
        <v>1.0009999999999999</v>
      </c>
      <c r="D7" s="21">
        <v>1.0009999999999999</v>
      </c>
      <c r="E7" s="21">
        <v>1.0009999999999999</v>
      </c>
      <c r="F7" s="21">
        <v>1.0009999999999999</v>
      </c>
      <c r="G7" s="21">
        <v>1.0009999999999999</v>
      </c>
      <c r="H7" s="21">
        <v>1.002</v>
      </c>
      <c r="I7" s="21">
        <v>1.0009999999999999</v>
      </c>
      <c r="J7" s="21">
        <v>1.0009999999999999</v>
      </c>
      <c r="K7" s="21">
        <v>1.0009999999999999</v>
      </c>
      <c r="L7" s="21">
        <v>1.0009999999999999</v>
      </c>
      <c r="M7" s="21">
        <v>1</v>
      </c>
      <c r="N7" s="21">
        <v>1</v>
      </c>
      <c r="O7" s="21">
        <v>1</v>
      </c>
      <c r="P7" s="21"/>
    </row>
    <row r="8" spans="1:16">
      <c r="A8" s="1">
        <f t="shared" si="0"/>
        <v>1986</v>
      </c>
      <c r="B8" s="21">
        <v>1.0009999999999999</v>
      </c>
      <c r="C8" s="21">
        <v>1.0009999999999999</v>
      </c>
      <c r="D8" s="21">
        <v>1.0009999999999999</v>
      </c>
      <c r="E8" s="21">
        <v>1.0009999999999999</v>
      </c>
      <c r="F8" s="21">
        <v>1.0009999999999999</v>
      </c>
      <c r="G8" s="21">
        <v>1.0009999999999999</v>
      </c>
      <c r="H8" s="21">
        <v>1.0009999999999999</v>
      </c>
      <c r="I8" s="21">
        <v>1.0009999999999999</v>
      </c>
      <c r="J8" s="21">
        <v>1.0009999999999999</v>
      </c>
      <c r="K8" s="21">
        <v>1.0009999999999999</v>
      </c>
      <c r="L8" s="21">
        <v>1</v>
      </c>
      <c r="M8" s="21">
        <v>1.0009999999999999</v>
      </c>
      <c r="N8" s="21">
        <v>1.0009999999999999</v>
      </c>
      <c r="O8" s="21" t="s">
        <v>34</v>
      </c>
      <c r="P8" s="21"/>
    </row>
    <row r="9" spans="1:16">
      <c r="A9" s="1">
        <f t="shared" si="0"/>
        <v>1987</v>
      </c>
      <c r="B9" s="21">
        <v>1.0009999999999999</v>
      </c>
      <c r="C9" s="21">
        <v>1.0009999999999999</v>
      </c>
      <c r="D9" s="21">
        <v>1.0009999999999999</v>
      </c>
      <c r="E9" s="21">
        <v>1.002</v>
      </c>
      <c r="F9" s="21">
        <v>1.0009999999999999</v>
      </c>
      <c r="G9" s="21">
        <v>1.0009999999999999</v>
      </c>
      <c r="H9" s="21">
        <v>1.0009999999999999</v>
      </c>
      <c r="I9" s="21">
        <v>1.0009999999999999</v>
      </c>
      <c r="J9" s="21">
        <v>1.0009999999999999</v>
      </c>
      <c r="K9" s="21">
        <v>1.0009999999999999</v>
      </c>
      <c r="L9" s="21">
        <v>1.0009999999999999</v>
      </c>
      <c r="M9" s="21">
        <v>1.0009999999999999</v>
      </c>
      <c r="N9" s="21" t="s">
        <v>34</v>
      </c>
      <c r="O9" s="21" t="s">
        <v>34</v>
      </c>
      <c r="P9" s="21"/>
    </row>
    <row r="10" spans="1:16">
      <c r="A10" s="1">
        <f t="shared" si="0"/>
        <v>1988</v>
      </c>
      <c r="B10" s="21">
        <v>1.0009999999999999</v>
      </c>
      <c r="C10" s="21">
        <v>1.002</v>
      </c>
      <c r="D10" s="21">
        <v>1.0009999999999999</v>
      </c>
      <c r="E10" s="21">
        <v>1.0009999999999999</v>
      </c>
      <c r="F10" s="21">
        <v>1.0009999999999999</v>
      </c>
      <c r="G10" s="21">
        <v>1.0009999999999999</v>
      </c>
      <c r="H10" s="21">
        <v>1.0009999999999999</v>
      </c>
      <c r="I10" s="21">
        <v>1.0009999999999999</v>
      </c>
      <c r="J10" s="21">
        <v>1.0009999999999999</v>
      </c>
      <c r="K10" s="21">
        <v>1.0009999999999999</v>
      </c>
      <c r="L10" s="21">
        <v>1.0009999999999999</v>
      </c>
      <c r="M10" s="21" t="s">
        <v>34</v>
      </c>
      <c r="N10" s="21" t="s">
        <v>34</v>
      </c>
      <c r="O10" s="21" t="s">
        <v>34</v>
      </c>
      <c r="P10" s="21"/>
    </row>
    <row r="11" spans="1:16">
      <c r="A11" s="1">
        <f t="shared" si="0"/>
        <v>1989</v>
      </c>
      <c r="B11" s="21">
        <v>1.0009999999999999</v>
      </c>
      <c r="C11" s="21">
        <v>1.0009999999999999</v>
      </c>
      <c r="D11" s="21">
        <v>1.0009999999999999</v>
      </c>
      <c r="E11" s="21">
        <v>1.0009999999999999</v>
      </c>
      <c r="F11" s="21">
        <v>1.0009999999999999</v>
      </c>
      <c r="G11" s="21">
        <v>1.0009999999999999</v>
      </c>
      <c r="H11" s="21">
        <v>1.0009999999999999</v>
      </c>
      <c r="I11" s="21">
        <v>1.0009999999999999</v>
      </c>
      <c r="J11" s="21">
        <v>1.0009999999999999</v>
      </c>
      <c r="K11" s="21">
        <v>1</v>
      </c>
      <c r="L11" s="21" t="s">
        <v>34</v>
      </c>
      <c r="M11" s="21" t="s">
        <v>34</v>
      </c>
      <c r="N11" s="21" t="s">
        <v>34</v>
      </c>
      <c r="O11" s="21" t="s">
        <v>34</v>
      </c>
      <c r="P11" s="21"/>
    </row>
    <row r="12" spans="1:16">
      <c r="A12" s="1">
        <f t="shared" si="0"/>
        <v>1990</v>
      </c>
      <c r="B12" s="21">
        <v>1.0009999999999999</v>
      </c>
      <c r="C12" s="21">
        <v>1.0009999999999999</v>
      </c>
      <c r="D12" s="21">
        <v>1.0009999999999999</v>
      </c>
      <c r="E12" s="21">
        <v>1.0009999999999999</v>
      </c>
      <c r="F12" s="21">
        <v>1</v>
      </c>
      <c r="G12" s="21">
        <v>1</v>
      </c>
      <c r="H12" s="21">
        <v>1.0009999999999999</v>
      </c>
      <c r="I12" s="21">
        <v>1.0009999999999999</v>
      </c>
      <c r="J12" s="21">
        <v>1.0009999999999999</v>
      </c>
      <c r="K12" s="21" t="s">
        <v>34</v>
      </c>
      <c r="L12" s="21" t="s">
        <v>34</v>
      </c>
      <c r="M12" s="21" t="s">
        <v>34</v>
      </c>
      <c r="N12" s="21" t="s">
        <v>34</v>
      </c>
      <c r="O12" s="21" t="s">
        <v>34</v>
      </c>
      <c r="P12" s="21"/>
    </row>
    <row r="13" spans="1:16">
      <c r="A13" s="1">
        <f t="shared" si="0"/>
        <v>1991</v>
      </c>
      <c r="B13" s="21">
        <v>1.0009999999999999</v>
      </c>
      <c r="C13" s="21">
        <v>1.0009999999999999</v>
      </c>
      <c r="D13" s="21">
        <v>1.0009999999999999</v>
      </c>
      <c r="E13" s="21">
        <v>1.0009999999999999</v>
      </c>
      <c r="F13" s="21">
        <v>1.0009999999999999</v>
      </c>
      <c r="G13" s="21">
        <v>1.0009999999999999</v>
      </c>
      <c r="H13" s="21">
        <v>1.0009999999999999</v>
      </c>
      <c r="I13" s="21">
        <v>1.0009999999999999</v>
      </c>
      <c r="J13" s="21" t="s">
        <v>34</v>
      </c>
      <c r="K13" s="21" t="s">
        <v>34</v>
      </c>
      <c r="L13" s="21" t="s">
        <v>34</v>
      </c>
      <c r="M13" s="21" t="s">
        <v>34</v>
      </c>
      <c r="N13" s="21" t="s">
        <v>34</v>
      </c>
      <c r="O13" s="21" t="s">
        <v>34</v>
      </c>
      <c r="P13" s="21"/>
    </row>
    <row r="14" spans="1:16">
      <c r="A14" s="1">
        <f t="shared" si="0"/>
        <v>1992</v>
      </c>
      <c r="B14" s="21">
        <v>1.0009999999999999</v>
      </c>
      <c r="C14" s="21">
        <v>1.0009999999999999</v>
      </c>
      <c r="D14" s="21">
        <v>1.0009999999999999</v>
      </c>
      <c r="E14" s="21">
        <v>1.0009999999999999</v>
      </c>
      <c r="F14" s="21">
        <v>1.0009999999999999</v>
      </c>
      <c r="G14" s="21">
        <v>1.0009999999999999</v>
      </c>
      <c r="H14" s="21">
        <v>1.0009999999999999</v>
      </c>
      <c r="I14" s="21" t="s">
        <v>34</v>
      </c>
      <c r="J14" s="21" t="s">
        <v>34</v>
      </c>
      <c r="K14" s="21" t="s">
        <v>34</v>
      </c>
      <c r="L14" s="21" t="s">
        <v>34</v>
      </c>
      <c r="M14" s="21" t="s">
        <v>34</v>
      </c>
      <c r="N14" s="21" t="s">
        <v>34</v>
      </c>
      <c r="O14" s="21" t="s">
        <v>34</v>
      </c>
      <c r="P14" s="21"/>
    </row>
    <row r="15" spans="1:16">
      <c r="A15" s="1">
        <f t="shared" si="0"/>
        <v>1993</v>
      </c>
      <c r="B15" s="21">
        <v>1.0009999999999999</v>
      </c>
      <c r="C15" s="21">
        <v>1.0009999999999999</v>
      </c>
      <c r="D15" s="21">
        <v>1.0009999999999999</v>
      </c>
      <c r="E15" s="21">
        <v>1.0009999999999999</v>
      </c>
      <c r="F15" s="21">
        <v>1.0009999999999999</v>
      </c>
      <c r="G15" s="21">
        <v>1.0009999999999999</v>
      </c>
      <c r="H15" s="21" t="s">
        <v>34</v>
      </c>
      <c r="I15" s="21" t="s">
        <v>34</v>
      </c>
      <c r="J15" s="21" t="s">
        <v>34</v>
      </c>
      <c r="K15" s="21" t="s">
        <v>34</v>
      </c>
      <c r="L15" s="21" t="s">
        <v>34</v>
      </c>
      <c r="M15" s="21" t="s">
        <v>34</v>
      </c>
      <c r="N15" s="21" t="s">
        <v>34</v>
      </c>
      <c r="O15" s="21" t="s">
        <v>34</v>
      </c>
      <c r="P15" s="21"/>
    </row>
    <row r="16" spans="1:16">
      <c r="A16" s="1">
        <f t="shared" si="0"/>
        <v>1994</v>
      </c>
      <c r="B16" s="21">
        <v>1.002</v>
      </c>
      <c r="C16" s="21">
        <v>1.002</v>
      </c>
      <c r="D16" s="21">
        <v>1.0009999999999999</v>
      </c>
      <c r="E16" s="21">
        <v>1.0009999999999999</v>
      </c>
      <c r="F16" s="21">
        <v>1.0009999999999999</v>
      </c>
      <c r="G16" s="21" t="s">
        <v>34</v>
      </c>
      <c r="H16" s="21" t="s">
        <v>34</v>
      </c>
      <c r="I16" s="21" t="s">
        <v>34</v>
      </c>
      <c r="J16" s="21" t="s">
        <v>34</v>
      </c>
      <c r="K16" s="21" t="s">
        <v>34</v>
      </c>
      <c r="L16" s="21" t="s">
        <v>34</v>
      </c>
      <c r="M16" s="21" t="s">
        <v>34</v>
      </c>
      <c r="N16" s="21" t="s">
        <v>34</v>
      </c>
      <c r="O16" s="21" t="s">
        <v>34</v>
      </c>
      <c r="P16" s="21"/>
    </row>
    <row r="17" spans="1:16">
      <c r="A17" s="1">
        <f t="shared" si="0"/>
        <v>1995</v>
      </c>
      <c r="B17" s="21">
        <v>1.002</v>
      </c>
      <c r="C17" s="21">
        <v>1.002</v>
      </c>
      <c r="D17" s="21">
        <v>1.0029999999999999</v>
      </c>
      <c r="E17" s="21">
        <v>1.002</v>
      </c>
      <c r="F17" s="21" t="s">
        <v>34</v>
      </c>
      <c r="G17" s="21" t="s">
        <v>34</v>
      </c>
      <c r="H17" s="21" t="s">
        <v>34</v>
      </c>
      <c r="I17" s="21" t="s">
        <v>34</v>
      </c>
      <c r="J17" s="21" t="s">
        <v>34</v>
      </c>
      <c r="K17" s="21" t="s">
        <v>34</v>
      </c>
      <c r="L17" s="21" t="s">
        <v>34</v>
      </c>
      <c r="M17" s="21" t="s">
        <v>34</v>
      </c>
      <c r="N17" s="21" t="s">
        <v>34</v>
      </c>
      <c r="O17" s="21" t="s">
        <v>34</v>
      </c>
      <c r="P17" s="21"/>
    </row>
    <row r="18" spans="1:16">
      <c r="A18" s="1">
        <f t="shared" si="0"/>
        <v>1996</v>
      </c>
      <c r="B18" s="21">
        <v>1.0029999999999999</v>
      </c>
      <c r="C18" s="21">
        <v>1.0029999999999999</v>
      </c>
      <c r="D18" s="21">
        <v>1.002</v>
      </c>
      <c r="E18" s="21" t="s">
        <v>34</v>
      </c>
      <c r="F18" s="21" t="s">
        <v>34</v>
      </c>
      <c r="G18" s="21" t="s">
        <v>34</v>
      </c>
      <c r="H18" s="21" t="s">
        <v>34</v>
      </c>
      <c r="I18" s="21" t="s">
        <v>34</v>
      </c>
      <c r="J18" s="21" t="s">
        <v>34</v>
      </c>
      <c r="K18" s="21" t="s">
        <v>34</v>
      </c>
      <c r="L18" s="21" t="s">
        <v>34</v>
      </c>
      <c r="M18" s="21" t="s">
        <v>34</v>
      </c>
      <c r="N18" s="21" t="s">
        <v>34</v>
      </c>
      <c r="O18" s="21" t="s">
        <v>34</v>
      </c>
      <c r="P18" s="21"/>
    </row>
    <row r="19" spans="1:16">
      <c r="A19" s="1">
        <f t="shared" si="0"/>
        <v>1997</v>
      </c>
      <c r="B19" s="21">
        <v>1.0029999999999999</v>
      </c>
      <c r="C19" s="21">
        <v>1.0029999999999999</v>
      </c>
      <c r="D19" s="21" t="s">
        <v>34</v>
      </c>
      <c r="E19" s="21" t="s">
        <v>34</v>
      </c>
      <c r="F19" s="21" t="s">
        <v>34</v>
      </c>
      <c r="G19" s="21" t="s">
        <v>34</v>
      </c>
      <c r="H19" s="21" t="s">
        <v>34</v>
      </c>
      <c r="I19" s="21" t="s">
        <v>34</v>
      </c>
      <c r="J19" s="21" t="s">
        <v>34</v>
      </c>
      <c r="K19" s="21" t="s">
        <v>34</v>
      </c>
      <c r="L19" s="21" t="s">
        <v>34</v>
      </c>
      <c r="M19" s="21" t="s">
        <v>34</v>
      </c>
      <c r="N19" s="21" t="s">
        <v>34</v>
      </c>
      <c r="O19" s="21" t="s">
        <v>34</v>
      </c>
      <c r="P19" s="21"/>
    </row>
    <row r="20" spans="1:16">
      <c r="A20" s="1">
        <f>'Exhibit 2.5.1'!A9</f>
        <v>1998</v>
      </c>
      <c r="B20" s="21">
        <v>1.0029999999999999</v>
      </c>
      <c r="C20" s="21" t="s">
        <v>34</v>
      </c>
      <c r="D20" s="21" t="s">
        <v>34</v>
      </c>
      <c r="E20" s="21" t="s">
        <v>34</v>
      </c>
      <c r="F20" s="21" t="s">
        <v>34</v>
      </c>
      <c r="G20" s="21" t="s">
        <v>34</v>
      </c>
      <c r="H20" s="21" t="s">
        <v>34</v>
      </c>
      <c r="I20" s="21" t="s">
        <v>34</v>
      </c>
      <c r="J20" s="21" t="s">
        <v>34</v>
      </c>
      <c r="K20" s="21" t="s">
        <v>34</v>
      </c>
      <c r="L20" s="21" t="s">
        <v>34</v>
      </c>
      <c r="M20" s="21" t="s">
        <v>34</v>
      </c>
      <c r="N20" s="21" t="s">
        <v>34</v>
      </c>
      <c r="O20" s="21" t="s">
        <v>34</v>
      </c>
      <c r="P20" s="21"/>
    </row>
    <row r="21" spans="1:16">
      <c r="A21" s="1"/>
      <c r="B21" s="16"/>
      <c r="C21" s="16"/>
      <c r="D21" s="16"/>
      <c r="E21" s="16"/>
      <c r="F21" s="16"/>
      <c r="G21" s="16"/>
      <c r="H21" s="16"/>
      <c r="I21" s="16"/>
      <c r="J21" s="16"/>
      <c r="K21" s="16"/>
      <c r="L21" s="16"/>
      <c r="M21" s="16"/>
      <c r="N21" s="16"/>
      <c r="O21" s="16"/>
      <c r="P21" s="16"/>
    </row>
    <row r="22" spans="1:16">
      <c r="A22" s="17"/>
      <c r="B22" s="16"/>
      <c r="C22" s="16"/>
      <c r="D22" s="16"/>
      <c r="E22" s="16"/>
      <c r="F22" s="16"/>
      <c r="G22" s="16"/>
      <c r="H22" s="16"/>
      <c r="I22" s="16"/>
      <c r="J22" s="16"/>
      <c r="K22" s="16"/>
      <c r="L22" s="16"/>
      <c r="M22" s="16"/>
      <c r="N22" s="16"/>
      <c r="O22" s="16"/>
      <c r="P22" s="16"/>
    </row>
    <row r="23" spans="1:16" s="307" customFormat="1">
      <c r="A23" s="1" t="s">
        <v>58</v>
      </c>
      <c r="B23" s="16">
        <f>AVERAGE(B18:B20)</f>
        <v>1.0029999999999999</v>
      </c>
      <c r="C23" s="16">
        <f>AVERAGE(C17:C19)</f>
        <v>1.0026666666666666</v>
      </c>
      <c r="D23" s="16">
        <f>AVERAGE(D16:D18)</f>
        <v>1.0019999999999998</v>
      </c>
      <c r="E23" s="16">
        <f>AVERAGE(E15:E17)</f>
        <v>1.0013333333333332</v>
      </c>
      <c r="F23" s="16">
        <f>AVERAGE(F14:F16)</f>
        <v>1.0009999999999999</v>
      </c>
      <c r="G23" s="16">
        <f>AVERAGE(G13:G15)</f>
        <v>1.0009999999999999</v>
      </c>
      <c r="H23" s="16">
        <f>AVERAGE(H12:H14)</f>
        <v>1.0009999999999999</v>
      </c>
      <c r="I23" s="16">
        <f>AVERAGE(I11:I13)</f>
        <v>1.0009999999999999</v>
      </c>
      <c r="J23" s="16">
        <f>AVERAGE(J10:J12)</f>
        <v>1.0009999999999999</v>
      </c>
      <c r="K23" s="16">
        <f>AVERAGE(K9:K11)</f>
        <v>1.0006666666666666</v>
      </c>
      <c r="L23" s="16">
        <f>AVERAGE(L8:L10)</f>
        <v>1.0006666666666666</v>
      </c>
      <c r="M23" s="16">
        <f>AVERAGE(M7:M9)</f>
        <v>1.0006666666666666</v>
      </c>
      <c r="N23" s="16">
        <f>AVERAGE(N6:N8)</f>
        <v>1.0006666666666666</v>
      </c>
      <c r="O23" s="16">
        <f>AVERAGE(O5:O7)</f>
        <v>1.0006666666666666</v>
      </c>
      <c r="P23" s="21">
        <v>1.0069999999999999</v>
      </c>
    </row>
    <row r="24" spans="1:16">
      <c r="A24" s="1" t="s">
        <v>36</v>
      </c>
      <c r="B24" s="21">
        <v>1.0029999999999999</v>
      </c>
      <c r="C24" s="21">
        <v>1.0018770752614823</v>
      </c>
      <c r="D24" s="21">
        <v>1.0014180116787539</v>
      </c>
      <c r="E24" s="21">
        <v>1.0009554480295018</v>
      </c>
      <c r="F24" s="21">
        <v>1.0007283497214183</v>
      </c>
      <c r="G24" s="21">
        <v>1.0007466432615266</v>
      </c>
      <c r="H24" s="21">
        <v>1.0007624653076028</v>
      </c>
      <c r="I24" s="21">
        <v>1.0007736254062902</v>
      </c>
      <c r="J24" s="21">
        <v>1.0007678451252728</v>
      </c>
      <c r="K24" s="21">
        <v>1.0005114164997231</v>
      </c>
      <c r="L24" s="21">
        <v>1.0006666666666666</v>
      </c>
      <c r="M24" s="21">
        <v>1.0005061282765451</v>
      </c>
      <c r="N24" s="21">
        <v>1.0005061282765451</v>
      </c>
      <c r="O24" s="21">
        <v>1.0005061282765451</v>
      </c>
      <c r="P24" s="16">
        <f>P25</f>
        <v>1.0050080717116354</v>
      </c>
    </row>
    <row r="25" spans="1:16">
      <c r="A25" s="1" t="s">
        <v>24</v>
      </c>
      <c r="B25" s="16">
        <f>B24*C25</f>
        <v>1.0188877883170881</v>
      </c>
      <c r="C25" s="16">
        <f t="shared" ref="C25:O25" si="1">C24*D25</f>
        <v>1.0158402675145446</v>
      </c>
      <c r="D25" s="16">
        <f t="shared" si="1"/>
        <v>1.0139370313962099</v>
      </c>
      <c r="E25" s="16">
        <f t="shared" si="1"/>
        <v>1.0125012927383537</v>
      </c>
      <c r="F25" s="16">
        <f t="shared" si="1"/>
        <v>1.0115348237841966</v>
      </c>
      <c r="G25" s="16">
        <f t="shared" si="1"/>
        <v>1.0107986088989949</v>
      </c>
      <c r="H25" s="16">
        <f t="shared" si="1"/>
        <v>1.0100444660046102</v>
      </c>
      <c r="I25" s="16">
        <f t="shared" si="1"/>
        <v>1.0092749288855016</v>
      </c>
      <c r="J25" s="16">
        <f t="shared" si="1"/>
        <v>1.0084947317389186</v>
      </c>
      <c r="K25" s="16">
        <f t="shared" si="1"/>
        <v>1.0077209581135957</v>
      </c>
      <c r="L25" s="16">
        <f t="shared" si="1"/>
        <v>1.0072058564200048</v>
      </c>
      <c r="M25" s="16">
        <f t="shared" si="1"/>
        <v>1.006534833197873</v>
      </c>
      <c r="N25" s="16">
        <f t="shared" si="1"/>
        <v>1.0060256551668632</v>
      </c>
      <c r="O25" s="16">
        <f t="shared" si="1"/>
        <v>1.0055167347148848</v>
      </c>
      <c r="P25" s="21">
        <v>1.0050080717116354</v>
      </c>
    </row>
    <row r="26" spans="1:16">
      <c r="A26" s="17"/>
      <c r="B26" s="16"/>
      <c r="C26" s="16"/>
      <c r="D26" s="16"/>
      <c r="E26" s="16"/>
      <c r="F26" s="16"/>
      <c r="G26" s="16"/>
      <c r="H26" s="16"/>
      <c r="I26" s="16"/>
      <c r="J26" s="16"/>
      <c r="K26" s="16"/>
      <c r="L26" s="16"/>
      <c r="M26" s="16"/>
      <c r="N26" s="16"/>
      <c r="O26" s="16"/>
      <c r="P26" s="16"/>
    </row>
    <row r="27" spans="1:16" ht="12.75" customHeight="1">
      <c r="A27" s="3" t="s">
        <v>26</v>
      </c>
      <c r="B27" s="44" t="s">
        <v>517</v>
      </c>
      <c r="C27" s="339"/>
      <c r="D27" s="339"/>
      <c r="E27" s="339"/>
      <c r="F27" s="339"/>
      <c r="G27" s="339"/>
      <c r="H27" s="339"/>
      <c r="I27" s="339"/>
      <c r="J27" s="339"/>
      <c r="K27" s="339"/>
      <c r="L27" s="339"/>
      <c r="M27" s="339"/>
      <c r="N27" s="339"/>
      <c r="O27" s="339"/>
      <c r="P27" s="339"/>
    </row>
    <row r="28" spans="1:16" ht="12.75" customHeight="1">
      <c r="A28" s="3" t="s">
        <v>30</v>
      </c>
      <c r="B28" s="309" t="s">
        <v>518</v>
      </c>
      <c r="C28" s="339"/>
      <c r="D28" s="339"/>
      <c r="E28" s="339"/>
      <c r="F28" s="339"/>
      <c r="G28" s="339"/>
      <c r="H28" s="339"/>
      <c r="I28" s="339"/>
      <c r="J28" s="339"/>
      <c r="K28" s="339"/>
      <c r="L28" s="339"/>
      <c r="M28" s="339"/>
      <c r="N28" s="339"/>
      <c r="O28" s="339"/>
      <c r="P28" s="339"/>
    </row>
    <row r="29" spans="1:16">
      <c r="A29" s="44"/>
      <c r="B29" s="309" t="s">
        <v>457</v>
      </c>
      <c r="C29" s="44"/>
      <c r="D29" s="44"/>
      <c r="E29" s="44"/>
      <c r="F29" s="44"/>
      <c r="G29" s="44"/>
      <c r="H29" s="44"/>
      <c r="I29" s="44"/>
      <c r="J29" s="44"/>
      <c r="K29" s="44"/>
      <c r="L29" s="44"/>
      <c r="M29" s="44"/>
      <c r="N29" s="44"/>
      <c r="O29" s="44"/>
      <c r="P29" s="44"/>
    </row>
  </sheetData>
  <pageMargins left="0.7" right="0.7" top="0.75" bottom="0.75" header="0.3" footer="0.3"/>
  <pageSetup scale="91" orientation="landscape" blackAndWhite="1" horizontalDpi="1200" verticalDpi="1200" r:id="rId1"/>
  <headerFooter scaleWithDoc="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59B84D-72F2-4F86-9A6E-950722CA4BB3}">
  <dimension ref="A1:L343"/>
  <sheetViews>
    <sheetView zoomScale="70" zoomScaleNormal="70" zoomScaleSheetLayoutView="84" workbookViewId="0"/>
  </sheetViews>
  <sheetFormatPr defaultRowHeight="14.5"/>
  <cols>
    <col min="1" max="1" width="8.7265625" customWidth="1"/>
    <col min="2" max="2" width="7.7265625" customWidth="1"/>
    <col min="3" max="3" width="15.7265625" bestFit="1" customWidth="1"/>
    <col min="4" max="11" width="10" customWidth="1"/>
    <col min="12" max="12" width="12.7265625" customWidth="1"/>
  </cols>
  <sheetData>
    <row r="1" spans="1:12" ht="45" customHeight="1">
      <c r="L1" s="143" t="s">
        <v>377</v>
      </c>
    </row>
    <row r="2" spans="1:12" ht="12.75" customHeight="1">
      <c r="A2" s="245" t="s">
        <v>31</v>
      </c>
      <c r="B2" s="245"/>
      <c r="C2" s="245"/>
      <c r="D2" s="245"/>
      <c r="E2" s="245"/>
      <c r="F2" s="245"/>
      <c r="G2" s="245"/>
      <c r="H2" s="245"/>
      <c r="I2" s="245"/>
      <c r="J2" s="245"/>
      <c r="K2" s="245"/>
      <c r="L2" s="245"/>
    </row>
    <row r="3" spans="1:12" ht="12.75" customHeight="1">
      <c r="A3" s="245" t="s">
        <v>261</v>
      </c>
      <c r="B3" s="245"/>
      <c r="C3" s="245"/>
      <c r="D3" s="245"/>
      <c r="E3" s="245"/>
      <c r="F3" s="245"/>
      <c r="G3" s="245"/>
      <c r="H3" s="245"/>
      <c r="I3" s="245"/>
      <c r="J3" s="245"/>
      <c r="K3" s="245"/>
      <c r="L3" s="245"/>
    </row>
    <row r="4" spans="1:12" ht="12.75" customHeight="1">
      <c r="A4" s="245" t="s">
        <v>262</v>
      </c>
      <c r="B4" s="245"/>
      <c r="C4" s="245"/>
      <c r="D4" s="245"/>
      <c r="E4" s="245"/>
      <c r="F4" s="245"/>
      <c r="G4" s="245"/>
      <c r="H4" s="245"/>
      <c r="I4" s="245"/>
      <c r="J4" s="245"/>
      <c r="K4" s="245"/>
      <c r="L4" s="245"/>
    </row>
    <row r="5" spans="1:12">
      <c r="A5" s="469"/>
      <c r="B5" s="469"/>
      <c r="C5" s="469"/>
      <c r="D5" s="469"/>
      <c r="E5" s="469"/>
      <c r="F5" s="469"/>
      <c r="G5" s="469"/>
      <c r="H5" s="469"/>
      <c r="I5" s="469"/>
    </row>
    <row r="6" spans="1:12">
      <c r="A6" s="517" t="s">
        <v>263</v>
      </c>
      <c r="B6" s="517"/>
      <c r="C6" s="517"/>
      <c r="D6" s="517"/>
      <c r="E6" s="517"/>
      <c r="F6" s="517"/>
      <c r="G6" s="517"/>
      <c r="H6" s="517"/>
      <c r="I6" s="517"/>
      <c r="J6" s="517"/>
      <c r="K6" s="470"/>
    </row>
    <row r="7" spans="1:12">
      <c r="A7" s="469"/>
      <c r="B7" s="469"/>
      <c r="C7" s="469"/>
      <c r="D7" s="469"/>
      <c r="E7" s="469"/>
      <c r="F7" s="469"/>
      <c r="G7" s="469"/>
      <c r="H7" s="469"/>
      <c r="I7" s="469"/>
      <c r="J7" s="469"/>
      <c r="K7" s="469"/>
    </row>
    <row r="8" spans="1:12">
      <c r="A8" s="469"/>
      <c r="B8" s="469"/>
      <c r="C8" s="469"/>
      <c r="D8" s="469"/>
      <c r="E8" s="469"/>
      <c r="F8" s="469"/>
      <c r="G8" s="469"/>
      <c r="H8" s="469"/>
      <c r="I8" s="469"/>
      <c r="J8" s="469"/>
      <c r="K8" s="469"/>
    </row>
    <row r="9" spans="1:12">
      <c r="A9" s="469"/>
      <c r="B9" s="469"/>
      <c r="C9" s="252" t="s">
        <v>203</v>
      </c>
      <c r="D9" s="513" t="s">
        <v>308</v>
      </c>
      <c r="E9" s="513"/>
      <c r="F9" s="513"/>
      <c r="G9" s="513"/>
      <c r="H9" s="513"/>
      <c r="I9" s="513"/>
      <c r="J9" s="513"/>
      <c r="K9" s="252"/>
    </row>
    <row r="10" spans="1:12">
      <c r="A10" s="469"/>
      <c r="B10" s="469"/>
      <c r="C10" s="26" t="s">
        <v>8</v>
      </c>
      <c r="D10" s="77">
        <v>12</v>
      </c>
      <c r="E10" s="77">
        <f t="shared" ref="E10:J10" si="0">+D10+12</f>
        <v>24</v>
      </c>
      <c r="F10" s="77">
        <f t="shared" si="0"/>
        <v>36</v>
      </c>
      <c r="G10" s="77">
        <f t="shared" si="0"/>
        <v>48</v>
      </c>
      <c r="H10" s="77">
        <f t="shared" si="0"/>
        <v>60</v>
      </c>
      <c r="I10" s="77">
        <f t="shared" si="0"/>
        <v>72</v>
      </c>
      <c r="J10" s="77">
        <f t="shared" si="0"/>
        <v>84</v>
      </c>
      <c r="K10" s="77"/>
    </row>
    <row r="11" spans="1:12" ht="4.9000000000000004" customHeight="1">
      <c r="A11" s="469"/>
      <c r="B11" s="469"/>
      <c r="C11" s="469"/>
      <c r="D11" s="469"/>
      <c r="E11" s="469"/>
      <c r="F11" s="469"/>
      <c r="G11" s="469"/>
      <c r="H11" s="469"/>
      <c r="I11" s="469"/>
      <c r="J11" s="469"/>
      <c r="K11" s="469"/>
    </row>
    <row r="12" spans="1:12">
      <c r="A12" s="469"/>
      <c r="B12" s="469"/>
      <c r="C12" s="252">
        <f t="shared" ref="C12:C19" si="1">C13-1</f>
        <v>2011</v>
      </c>
      <c r="D12" s="365"/>
      <c r="E12" s="365"/>
      <c r="F12" s="365"/>
      <c r="G12" s="365"/>
      <c r="H12" s="365"/>
      <c r="I12" s="365"/>
      <c r="J12" s="365">
        <v>120831.58586522419</v>
      </c>
      <c r="K12" s="73"/>
    </row>
    <row r="13" spans="1:12">
      <c r="A13" s="469"/>
      <c r="B13" s="469"/>
      <c r="C13" s="252">
        <f t="shared" si="1"/>
        <v>2012</v>
      </c>
      <c r="D13" s="365"/>
      <c r="E13" s="365"/>
      <c r="F13" s="365"/>
      <c r="G13" s="365"/>
      <c r="H13" s="365"/>
      <c r="I13" s="365">
        <v>127904.79740164625</v>
      </c>
      <c r="J13" s="365">
        <v>128040.44643283606</v>
      </c>
      <c r="K13" s="73"/>
    </row>
    <row r="14" spans="1:12">
      <c r="A14" s="469"/>
      <c r="B14" s="469"/>
      <c r="C14" s="252">
        <f t="shared" si="1"/>
        <v>2013</v>
      </c>
      <c r="D14" s="365"/>
      <c r="E14" s="365"/>
      <c r="F14" s="365"/>
      <c r="G14" s="365"/>
      <c r="H14" s="365">
        <v>135756.89756352379</v>
      </c>
      <c r="I14" s="365">
        <v>136000.82517816502</v>
      </c>
      <c r="J14" s="365">
        <v>136198.00000000003</v>
      </c>
      <c r="K14" s="73"/>
    </row>
    <row r="15" spans="1:12">
      <c r="A15" s="469"/>
      <c r="B15" s="469"/>
      <c r="C15" s="252">
        <f t="shared" si="1"/>
        <v>2014</v>
      </c>
      <c r="D15" s="365"/>
      <c r="E15" s="365"/>
      <c r="F15" s="365"/>
      <c r="G15" s="365">
        <v>140197.84105804074</v>
      </c>
      <c r="H15" s="365">
        <v>140770.52571130439</v>
      </c>
      <c r="I15" s="365">
        <v>141073</v>
      </c>
      <c r="J15" s="365">
        <v>141113</v>
      </c>
      <c r="K15" s="73"/>
    </row>
    <row r="16" spans="1:12">
      <c r="A16" s="469"/>
      <c r="B16" s="469"/>
      <c r="C16" s="252">
        <f t="shared" si="1"/>
        <v>2015</v>
      </c>
      <c r="D16" s="365"/>
      <c r="E16" s="365"/>
      <c r="F16" s="365">
        <v>143582.55353861884</v>
      </c>
      <c r="G16" s="365">
        <v>144410.85094008595</v>
      </c>
      <c r="H16" s="365">
        <v>144826</v>
      </c>
      <c r="I16" s="365">
        <v>145185</v>
      </c>
      <c r="J16" s="365" t="s">
        <v>34</v>
      </c>
      <c r="K16" s="73"/>
    </row>
    <row r="17" spans="1:11">
      <c r="A17" s="469"/>
      <c r="B17" s="469"/>
      <c r="C17" s="252">
        <f t="shared" si="1"/>
        <v>2016</v>
      </c>
      <c r="D17" s="365"/>
      <c r="E17" s="365">
        <v>142750</v>
      </c>
      <c r="F17" s="365">
        <v>146833</v>
      </c>
      <c r="G17" s="365">
        <v>147842</v>
      </c>
      <c r="H17" s="365">
        <v>148278</v>
      </c>
      <c r="I17" s="365" t="s">
        <v>34</v>
      </c>
      <c r="J17" s="365" t="s">
        <v>34</v>
      </c>
      <c r="K17" s="73"/>
    </row>
    <row r="18" spans="1:11">
      <c r="A18" s="469"/>
      <c r="B18" s="469"/>
      <c r="C18" s="252">
        <f t="shared" si="1"/>
        <v>2017</v>
      </c>
      <c r="D18" s="365">
        <v>118037</v>
      </c>
      <c r="E18" s="365">
        <v>143999</v>
      </c>
      <c r="F18" s="365">
        <v>147352</v>
      </c>
      <c r="G18" s="365">
        <v>148427</v>
      </c>
      <c r="H18" s="365" t="s">
        <v>34</v>
      </c>
      <c r="I18" s="365" t="s">
        <v>34</v>
      </c>
      <c r="J18" s="365" t="s">
        <v>34</v>
      </c>
      <c r="K18" s="73"/>
    </row>
    <row r="19" spans="1:11">
      <c r="A19" s="469"/>
      <c r="B19" s="469"/>
      <c r="C19" s="252">
        <f t="shared" si="1"/>
        <v>2018</v>
      </c>
      <c r="D19" s="365">
        <v>119874</v>
      </c>
      <c r="E19" s="365">
        <v>146953</v>
      </c>
      <c r="F19" s="365">
        <v>150393</v>
      </c>
      <c r="G19" s="365" t="s">
        <v>34</v>
      </c>
      <c r="H19" s="365" t="s">
        <v>34</v>
      </c>
      <c r="I19" s="365" t="s">
        <v>34</v>
      </c>
      <c r="J19" s="365" t="s">
        <v>34</v>
      </c>
      <c r="K19" s="73"/>
    </row>
    <row r="20" spans="1:11">
      <c r="A20" s="469"/>
      <c r="B20" s="469"/>
      <c r="C20" s="252">
        <f>C21-1</f>
        <v>2019</v>
      </c>
      <c r="D20" s="365">
        <v>122243</v>
      </c>
      <c r="E20" s="365">
        <v>149395</v>
      </c>
      <c r="F20" s="365" t="s">
        <v>34</v>
      </c>
      <c r="G20" s="365" t="s">
        <v>34</v>
      </c>
      <c r="H20" s="365" t="s">
        <v>34</v>
      </c>
      <c r="I20" s="365" t="s">
        <v>34</v>
      </c>
      <c r="J20" s="365" t="s">
        <v>34</v>
      </c>
      <c r="K20" s="73"/>
    </row>
    <row r="21" spans="1:11">
      <c r="A21" s="469"/>
      <c r="B21" s="469"/>
      <c r="C21" s="252">
        <v>2020</v>
      </c>
      <c r="D21" s="365">
        <v>106971</v>
      </c>
      <c r="E21" s="365" t="s">
        <v>34</v>
      </c>
      <c r="F21" s="365"/>
      <c r="G21" s="365"/>
      <c r="H21" s="365"/>
      <c r="I21" s="365"/>
      <c r="J21" s="365"/>
      <c r="K21" s="73"/>
    </row>
    <row r="22" spans="1:11">
      <c r="A22" s="469"/>
      <c r="B22" s="469"/>
      <c r="C22" s="252"/>
      <c r="D22" s="73"/>
      <c r="E22" s="73"/>
      <c r="F22" s="73"/>
      <c r="G22" s="73"/>
      <c r="H22" s="73"/>
      <c r="I22" s="73"/>
      <c r="J22" s="73"/>
      <c r="K22" s="73"/>
    </row>
    <row r="23" spans="1:11">
      <c r="A23" s="517" t="s">
        <v>264</v>
      </c>
      <c r="B23" s="517"/>
      <c r="C23" s="517"/>
      <c r="D23" s="517"/>
      <c r="E23" s="517"/>
      <c r="F23" s="517"/>
      <c r="G23" s="517"/>
      <c r="H23" s="517"/>
      <c r="I23" s="517"/>
      <c r="J23" s="517"/>
      <c r="K23" s="470"/>
    </row>
    <row r="24" spans="1:11">
      <c r="A24" s="49"/>
      <c r="B24" s="49"/>
      <c r="C24" s="50"/>
      <c r="D24" s="50"/>
      <c r="E24" s="50"/>
      <c r="F24" s="50"/>
      <c r="G24" s="50"/>
      <c r="H24" s="50"/>
      <c r="I24" s="50"/>
      <c r="J24" s="50"/>
      <c r="K24" s="50"/>
    </row>
    <row r="25" spans="1:11">
      <c r="A25" s="469"/>
      <c r="B25" s="469"/>
      <c r="C25" s="252" t="s">
        <v>54</v>
      </c>
      <c r="D25" s="513" t="s">
        <v>519</v>
      </c>
      <c r="E25" s="513"/>
      <c r="F25" s="513"/>
      <c r="G25" s="513"/>
      <c r="H25" s="513"/>
      <c r="I25" s="513"/>
      <c r="J25" s="513"/>
      <c r="K25" s="252"/>
    </row>
    <row r="26" spans="1:11">
      <c r="A26" s="469"/>
      <c r="B26" s="469"/>
      <c r="C26" s="26" t="s">
        <v>8</v>
      </c>
      <c r="D26" s="77" t="str">
        <f t="shared" ref="D26:I26" si="2">+D10&amp;"-"&amp;E10</f>
        <v>12-24</v>
      </c>
      <c r="E26" s="77" t="str">
        <f t="shared" si="2"/>
        <v>24-36</v>
      </c>
      <c r="F26" s="77" t="str">
        <f t="shared" si="2"/>
        <v>36-48</v>
      </c>
      <c r="G26" s="77" t="str">
        <f t="shared" si="2"/>
        <v>48-60</v>
      </c>
      <c r="H26" s="77" t="str">
        <f t="shared" si="2"/>
        <v>60-72</v>
      </c>
      <c r="I26" s="77" t="str">
        <f t="shared" si="2"/>
        <v>72-84</v>
      </c>
      <c r="J26" s="77" t="str">
        <f>RIGHT(I26,2)&amp;"-Ult"</f>
        <v>84-Ult</v>
      </c>
      <c r="K26" s="77"/>
    </row>
    <row r="27" spans="1:11" ht="4.1500000000000004" customHeight="1">
      <c r="A27" s="469"/>
      <c r="B27" s="469"/>
      <c r="C27" s="469"/>
      <c r="D27" s="469"/>
      <c r="E27" s="469"/>
      <c r="F27" s="469"/>
      <c r="G27" s="469"/>
      <c r="H27" s="469"/>
      <c r="I27" s="469"/>
      <c r="J27" s="469"/>
      <c r="K27" s="469"/>
    </row>
    <row r="28" spans="1:11">
      <c r="A28" s="469"/>
      <c r="B28" s="469"/>
      <c r="C28" s="252">
        <f t="shared" ref="C28:C33" si="3">C29-1</f>
        <v>2012</v>
      </c>
      <c r="D28" s="54"/>
      <c r="E28" s="54"/>
      <c r="F28" s="54"/>
      <c r="G28" s="54"/>
      <c r="H28" s="54"/>
      <c r="I28" s="144">
        <f t="shared" ref="I28" si="4">J13/I13</f>
        <v>1.0010605468594258</v>
      </c>
      <c r="J28" s="54"/>
      <c r="K28" s="54"/>
    </row>
    <row r="29" spans="1:11">
      <c r="A29" s="469"/>
      <c r="B29" s="469"/>
      <c r="C29" s="252">
        <f t="shared" si="3"/>
        <v>2013</v>
      </c>
      <c r="D29" s="54"/>
      <c r="E29" s="54"/>
      <c r="F29" s="54"/>
      <c r="G29" s="54"/>
      <c r="H29" s="144">
        <f t="shared" ref="H29:I29" si="5">I14/H14</f>
        <v>1.001796797208975</v>
      </c>
      <c r="I29" s="144">
        <f t="shared" si="5"/>
        <v>1.0014498060697552</v>
      </c>
      <c r="J29" s="54"/>
      <c r="K29" s="54"/>
    </row>
    <row r="30" spans="1:11">
      <c r="A30" s="469"/>
      <c r="B30" s="469"/>
      <c r="C30" s="252">
        <f t="shared" si="3"/>
        <v>2014</v>
      </c>
      <c r="D30" s="54"/>
      <c r="E30" s="54"/>
      <c r="F30" s="54"/>
      <c r="G30" s="144">
        <f t="shared" ref="G30:H30" si="6">H15/G15</f>
        <v>1.0040848321838749</v>
      </c>
      <c r="H30" s="144">
        <f t="shared" si="6"/>
        <v>1.0021487046891899</v>
      </c>
      <c r="I30" s="144">
        <f>J15/I15</f>
        <v>1.0002835411453646</v>
      </c>
      <c r="J30" s="54"/>
      <c r="K30" s="54"/>
    </row>
    <row r="31" spans="1:11">
      <c r="A31" s="469"/>
      <c r="B31" s="469"/>
      <c r="C31" s="252">
        <f t="shared" si="3"/>
        <v>2015</v>
      </c>
      <c r="D31" s="54"/>
      <c r="E31" s="54"/>
      <c r="F31" s="144">
        <f t="shared" ref="F31:G31" si="7">G16/F16</f>
        <v>1.0057687886240603</v>
      </c>
      <c r="G31" s="144">
        <f t="shared" si="7"/>
        <v>1.0028747774645155</v>
      </c>
      <c r="H31" s="144">
        <f>I16/H16</f>
        <v>1.0024788366729731</v>
      </c>
      <c r="I31" s="54"/>
      <c r="J31" s="54"/>
      <c r="K31" s="54"/>
    </row>
    <row r="32" spans="1:11">
      <c r="A32" s="469"/>
      <c r="B32" s="469"/>
      <c r="C32" s="252">
        <f t="shared" si="3"/>
        <v>2016</v>
      </c>
      <c r="D32" s="54"/>
      <c r="E32" s="144">
        <f t="shared" ref="D32:E34" si="8">F17/E17</f>
        <v>1.0286024518388792</v>
      </c>
      <c r="F32" s="144">
        <f t="shared" ref="F32" si="9">G17/F17</f>
        <v>1.0068717522627748</v>
      </c>
      <c r="G32" s="144">
        <f>H17/G17</f>
        <v>1.0029490943033779</v>
      </c>
      <c r="H32" s="54"/>
      <c r="I32" s="54"/>
      <c r="J32" s="54"/>
      <c r="K32" s="54"/>
    </row>
    <row r="33" spans="1:11">
      <c r="A33" s="469"/>
      <c r="B33" s="469"/>
      <c r="C33" s="252">
        <f t="shared" si="3"/>
        <v>2017</v>
      </c>
      <c r="D33" s="144">
        <f t="shared" si="8"/>
        <v>1.2199479824122945</v>
      </c>
      <c r="E33" s="144">
        <f t="shared" si="8"/>
        <v>1.023284883922805</v>
      </c>
      <c r="F33" s="144">
        <f>G18/F18</f>
        <v>1.0072954557793583</v>
      </c>
      <c r="G33" s="54"/>
      <c r="H33" s="54"/>
      <c r="I33" s="54"/>
      <c r="J33" s="54"/>
      <c r="K33" s="54"/>
    </row>
    <row r="34" spans="1:11">
      <c r="A34" s="469"/>
      <c r="B34" s="469"/>
      <c r="C34" s="252">
        <f>C35-1</f>
        <v>2018</v>
      </c>
      <c r="D34" s="144">
        <f t="shared" si="8"/>
        <v>1.2258955236331481</v>
      </c>
      <c r="E34" s="144">
        <f>F19/E19</f>
        <v>1.0234088450048655</v>
      </c>
      <c r="F34" s="54"/>
      <c r="G34" s="54"/>
      <c r="H34" s="54"/>
      <c r="I34" s="54"/>
      <c r="J34" s="54"/>
      <c r="K34" s="54"/>
    </row>
    <row r="35" spans="1:11">
      <c r="A35" s="469"/>
      <c r="B35" s="469"/>
      <c r="C35" s="252">
        <f>C21-1</f>
        <v>2019</v>
      </c>
      <c r="D35" s="144">
        <f>E20/D20</f>
        <v>1.2221149677282135</v>
      </c>
      <c r="E35" s="54"/>
      <c r="F35" s="54"/>
      <c r="G35" s="54"/>
      <c r="H35" s="54"/>
      <c r="I35" s="54"/>
      <c r="J35" s="54"/>
      <c r="K35" s="54"/>
    </row>
    <row r="36" spans="1:11">
      <c r="A36" s="49"/>
      <c r="B36" s="49"/>
      <c r="C36" s="54"/>
      <c r="D36" s="54"/>
      <c r="E36" s="54"/>
      <c r="F36" s="54"/>
      <c r="G36" s="54"/>
      <c r="H36" s="35"/>
      <c r="I36" s="54"/>
      <c r="J36" s="54"/>
      <c r="K36" s="54"/>
    </row>
    <row r="37" spans="1:11">
      <c r="A37" s="469"/>
      <c r="B37" s="469"/>
      <c r="C37" s="469" t="s">
        <v>265</v>
      </c>
      <c r="D37" s="54">
        <f>D35</f>
        <v>1.2221149677282135</v>
      </c>
      <c r="E37" s="54">
        <f>E34</f>
        <v>1.0234088450048655</v>
      </c>
      <c r="F37" s="54">
        <f>F33</f>
        <v>1.0072954557793583</v>
      </c>
      <c r="G37" s="54">
        <f>G32</f>
        <v>1.0029490943033779</v>
      </c>
      <c r="H37" s="54">
        <f>H31</f>
        <v>1.0024788366729731</v>
      </c>
      <c r="I37" s="54">
        <f>I30</f>
        <v>1.0002835411453646</v>
      </c>
      <c r="J37" s="54"/>
      <c r="K37" s="54"/>
    </row>
    <row r="38" spans="1:11">
      <c r="A38" s="469"/>
      <c r="B38" s="469"/>
      <c r="C38" s="469" t="s">
        <v>21</v>
      </c>
      <c r="D38" s="54">
        <f t="shared" ref="D38:I38" si="10">D37*E38</f>
        <v>1.270652813661544</v>
      </c>
      <c r="E38" s="54">
        <f t="shared" si="10"/>
        <v>1.0397162682849368</v>
      </c>
      <c r="F38" s="54">
        <f t="shared" si="10"/>
        <v>1.0159344169826807</v>
      </c>
      <c r="G38" s="54">
        <f t="shared" si="10"/>
        <v>1.0085763925110118</v>
      </c>
      <c r="H38" s="54">
        <f t="shared" si="10"/>
        <v>1.0056107515721349</v>
      </c>
      <c r="I38" s="54">
        <f t="shared" si="10"/>
        <v>1.0031241705905294</v>
      </c>
      <c r="J38" s="366">
        <v>1.0028398242381478</v>
      </c>
      <c r="K38" s="54"/>
    </row>
    <row r="39" spans="1:11">
      <c r="A39" s="469"/>
      <c r="B39" s="469"/>
      <c r="C39" s="469"/>
      <c r="D39" s="469"/>
      <c r="E39" s="469"/>
      <c r="F39" s="469"/>
      <c r="G39" s="469"/>
      <c r="H39" s="469"/>
      <c r="I39" s="469"/>
      <c r="J39" s="469"/>
      <c r="K39" s="469"/>
    </row>
    <row r="40" spans="1:11">
      <c r="A40" s="469"/>
      <c r="B40" s="469"/>
      <c r="C40" s="469"/>
      <c r="D40" s="467"/>
      <c r="E40" s="467"/>
      <c r="F40" s="467"/>
      <c r="G40" s="467"/>
      <c r="H40" s="467"/>
      <c r="I40" s="467"/>
      <c r="J40" s="467"/>
      <c r="K40" s="252"/>
    </row>
    <row r="41" spans="1:11">
      <c r="A41" s="469"/>
      <c r="B41" s="469"/>
      <c r="C41" s="469" t="s">
        <v>266</v>
      </c>
      <c r="D41" s="77">
        <f>C21</f>
        <v>2020</v>
      </c>
      <c r="E41" s="77">
        <f t="shared" ref="E41:J41" si="11">D41-1</f>
        <v>2019</v>
      </c>
      <c r="F41" s="77">
        <f t="shared" si="11"/>
        <v>2018</v>
      </c>
      <c r="G41" s="77">
        <f t="shared" si="11"/>
        <v>2017</v>
      </c>
      <c r="H41" s="77">
        <f t="shared" si="11"/>
        <v>2016</v>
      </c>
      <c r="I41" s="77">
        <f t="shared" si="11"/>
        <v>2015</v>
      </c>
      <c r="J41" s="77">
        <f t="shared" si="11"/>
        <v>2014</v>
      </c>
      <c r="K41" s="77"/>
    </row>
    <row r="42" spans="1:11">
      <c r="A42" s="469"/>
      <c r="B42" s="469"/>
      <c r="C42" s="469" t="s">
        <v>267</v>
      </c>
      <c r="D42" s="139">
        <f>D38*D21</f>
        <v>135923.00213018904</v>
      </c>
      <c r="E42" s="139">
        <f>E38*E20</f>
        <v>155328.41190042812</v>
      </c>
      <c r="F42" s="139">
        <f>F38*F19</f>
        <v>152789.42477327629</v>
      </c>
      <c r="G42" s="139">
        <f>G38*G18</f>
        <v>149699.96821123196</v>
      </c>
      <c r="H42" s="139">
        <f>H38*H17</f>
        <v>149109.951021613</v>
      </c>
      <c r="I42" s="139">
        <f>I38*I16</f>
        <v>145638.582707186</v>
      </c>
      <c r="J42" s="139">
        <f>J38*J15</f>
        <v>141513.73611771775</v>
      </c>
      <c r="K42" s="139"/>
    </row>
    <row r="43" spans="1:11">
      <c r="A43" s="469"/>
      <c r="B43" s="469"/>
      <c r="C43" s="469"/>
      <c r="D43" s="140"/>
      <c r="E43" s="140"/>
      <c r="F43" s="140"/>
      <c r="G43" s="140"/>
      <c r="H43" s="140"/>
      <c r="I43" s="140"/>
      <c r="J43" s="140"/>
      <c r="K43" s="140"/>
    </row>
    <row r="44" spans="1:11">
      <c r="A44" s="517" t="s">
        <v>268</v>
      </c>
      <c r="B44" s="517"/>
      <c r="C44" s="517"/>
      <c r="D44" s="517"/>
      <c r="E44" s="517"/>
      <c r="F44" s="517"/>
      <c r="G44" s="517"/>
      <c r="H44" s="517"/>
      <c r="I44" s="517"/>
      <c r="J44" s="517"/>
      <c r="K44" s="470"/>
    </row>
    <row r="45" spans="1:11">
      <c r="A45" s="469"/>
      <c r="B45" s="469"/>
      <c r="C45" s="469"/>
      <c r="D45" s="469"/>
      <c r="E45" s="469"/>
      <c r="F45" s="469"/>
      <c r="G45" s="469"/>
      <c r="H45" s="469"/>
      <c r="I45" s="469"/>
      <c r="J45" s="469"/>
      <c r="K45" s="469"/>
    </row>
    <row r="46" spans="1:11">
      <c r="A46" s="469"/>
      <c r="B46" s="469"/>
      <c r="C46" s="252" t="s">
        <v>203</v>
      </c>
      <c r="D46" s="513" t="s">
        <v>308</v>
      </c>
      <c r="E46" s="516"/>
      <c r="F46" s="516"/>
      <c r="G46" s="516"/>
      <c r="H46" s="516"/>
      <c r="I46" s="516"/>
      <c r="J46" s="516"/>
    </row>
    <row r="47" spans="1:11">
      <c r="A47" s="469"/>
      <c r="B47" s="252"/>
      <c r="C47" s="26" t="s">
        <v>8</v>
      </c>
      <c r="D47" s="77">
        <f t="shared" ref="D47:J47" si="12">+D10</f>
        <v>12</v>
      </c>
      <c r="E47" s="77">
        <f t="shared" si="12"/>
        <v>24</v>
      </c>
      <c r="F47" s="77">
        <f t="shared" si="12"/>
        <v>36</v>
      </c>
      <c r="G47" s="77">
        <f t="shared" si="12"/>
        <v>48</v>
      </c>
      <c r="H47" s="77">
        <f t="shared" si="12"/>
        <v>60</v>
      </c>
      <c r="I47" s="77">
        <f t="shared" si="12"/>
        <v>72</v>
      </c>
      <c r="J47" s="77">
        <f t="shared" si="12"/>
        <v>84</v>
      </c>
      <c r="K47" s="77"/>
    </row>
    <row r="48" spans="1:11" ht="3.65" customHeight="1">
      <c r="A48" s="469"/>
      <c r="B48" s="469"/>
      <c r="C48" s="469"/>
      <c r="D48" s="469"/>
      <c r="E48" s="469"/>
      <c r="F48" s="469"/>
      <c r="G48" s="469"/>
      <c r="H48" s="469"/>
      <c r="I48" s="469"/>
      <c r="J48" s="469"/>
      <c r="K48" s="469"/>
    </row>
    <row r="49" spans="1:12">
      <c r="A49" s="469"/>
      <c r="B49" s="252"/>
      <c r="C49" s="252">
        <f t="shared" ref="C49:C55" si="13">+C50-1</f>
        <v>2011</v>
      </c>
      <c r="D49" s="365"/>
      <c r="E49" s="365"/>
      <c r="F49" s="365"/>
      <c r="G49" s="365"/>
      <c r="H49" s="365"/>
      <c r="I49" s="365"/>
      <c r="J49" s="365">
        <v>109858.54461147125</v>
      </c>
      <c r="K49" s="73"/>
    </row>
    <row r="50" spans="1:12">
      <c r="A50" s="469"/>
      <c r="B50" s="252"/>
      <c r="C50" s="252">
        <f t="shared" si="13"/>
        <v>2012</v>
      </c>
      <c r="D50" s="365"/>
      <c r="E50" s="365"/>
      <c r="F50" s="365"/>
      <c r="G50" s="365"/>
      <c r="H50" s="365"/>
      <c r="I50" s="365">
        <v>113034.74290724834</v>
      </c>
      <c r="J50" s="365">
        <v>117855.01825356011</v>
      </c>
      <c r="K50" s="73"/>
    </row>
    <row r="51" spans="1:12">
      <c r="A51" s="469"/>
      <c r="B51" s="469"/>
      <c r="C51" s="252">
        <f t="shared" si="13"/>
        <v>2013</v>
      </c>
      <c r="D51" s="365"/>
      <c r="E51" s="365"/>
      <c r="F51" s="365"/>
      <c r="G51" s="365"/>
      <c r="H51" s="365">
        <v>115075.20531408707</v>
      </c>
      <c r="I51" s="365">
        <v>122211.54179817044</v>
      </c>
      <c r="J51" s="365">
        <v>126943</v>
      </c>
      <c r="K51" s="73"/>
    </row>
    <row r="52" spans="1:12">
      <c r="A52" s="469"/>
      <c r="B52" s="469"/>
      <c r="C52" s="252">
        <f t="shared" si="13"/>
        <v>2014</v>
      </c>
      <c r="D52" s="365"/>
      <c r="E52" s="365"/>
      <c r="F52" s="365"/>
      <c r="G52" s="365">
        <v>109607.29019858055</v>
      </c>
      <c r="H52" s="365">
        <v>121365.66387031216</v>
      </c>
      <c r="I52" s="365">
        <v>128066</v>
      </c>
      <c r="J52" s="365">
        <v>131979</v>
      </c>
      <c r="K52" s="73"/>
    </row>
    <row r="53" spans="1:12">
      <c r="A53" s="469"/>
      <c r="B53" s="469"/>
      <c r="C53" s="252">
        <f t="shared" si="13"/>
        <v>2015</v>
      </c>
      <c r="D53" s="365"/>
      <c r="E53" s="365"/>
      <c r="F53" s="365">
        <v>98029.769275544721</v>
      </c>
      <c r="G53" s="365">
        <v>116382.84041532289</v>
      </c>
      <c r="H53" s="365">
        <v>127179</v>
      </c>
      <c r="I53" s="365">
        <v>132663</v>
      </c>
      <c r="J53" s="365"/>
      <c r="K53" s="73"/>
    </row>
    <row r="54" spans="1:12">
      <c r="A54" s="469"/>
      <c r="B54" s="469"/>
      <c r="C54" s="252">
        <f t="shared" si="13"/>
        <v>2016</v>
      </c>
      <c r="D54" s="365"/>
      <c r="E54" s="365">
        <v>76266</v>
      </c>
      <c r="F54" s="365">
        <v>104229</v>
      </c>
      <c r="G54" s="365">
        <v>121967</v>
      </c>
      <c r="H54" s="365">
        <v>130811</v>
      </c>
      <c r="I54" s="365"/>
      <c r="J54" s="365"/>
      <c r="K54" s="73"/>
    </row>
    <row r="55" spans="1:12">
      <c r="A55" s="469"/>
      <c r="B55" s="469"/>
      <c r="C55" s="252">
        <f t="shared" si="13"/>
        <v>2017</v>
      </c>
      <c r="D55" s="365">
        <v>35866</v>
      </c>
      <c r="E55" s="365">
        <v>80944</v>
      </c>
      <c r="F55" s="365">
        <v>107771</v>
      </c>
      <c r="G55" s="365">
        <v>122544</v>
      </c>
      <c r="H55" s="365"/>
      <c r="I55" s="365"/>
      <c r="J55" s="365" t="s">
        <v>34</v>
      </c>
      <c r="K55" s="73"/>
    </row>
    <row r="56" spans="1:12">
      <c r="A56" s="469"/>
      <c r="B56" s="469"/>
      <c r="C56" s="252">
        <f>+C57-1</f>
        <v>2018</v>
      </c>
      <c r="D56" s="365">
        <v>37352</v>
      </c>
      <c r="E56" s="365">
        <v>82802</v>
      </c>
      <c r="F56" s="365">
        <v>107381</v>
      </c>
      <c r="G56" s="365"/>
      <c r="H56" s="365"/>
      <c r="I56" s="365" t="s">
        <v>34</v>
      </c>
      <c r="J56" s="365" t="s">
        <v>34</v>
      </c>
      <c r="K56" s="73"/>
    </row>
    <row r="57" spans="1:12">
      <c r="A57" s="469"/>
      <c r="B57" s="469"/>
      <c r="C57" s="252">
        <f>+C20</f>
        <v>2019</v>
      </c>
      <c r="D57" s="365">
        <v>38107</v>
      </c>
      <c r="E57" s="365">
        <v>80822</v>
      </c>
      <c r="F57" s="365"/>
      <c r="G57" s="365"/>
      <c r="H57" s="365" t="s">
        <v>34</v>
      </c>
      <c r="I57" s="365" t="s">
        <v>34</v>
      </c>
      <c r="J57" s="365" t="s">
        <v>34</v>
      </c>
      <c r="K57" s="73"/>
    </row>
    <row r="58" spans="1:12">
      <c r="A58" s="469"/>
      <c r="B58" s="469"/>
      <c r="C58" s="252">
        <f>+C21</f>
        <v>2020</v>
      </c>
      <c r="D58" s="365">
        <v>32080</v>
      </c>
      <c r="E58" s="365"/>
      <c r="F58" s="365"/>
      <c r="G58" s="365"/>
      <c r="H58" s="365"/>
      <c r="I58" s="365"/>
      <c r="J58" s="365"/>
      <c r="K58" s="73"/>
    </row>
    <row r="59" spans="1:12">
      <c r="A59" s="469"/>
      <c r="B59" s="469"/>
      <c r="C59" s="252"/>
      <c r="D59" s="469"/>
      <c r="E59" s="469"/>
      <c r="F59" s="469"/>
      <c r="G59" s="469"/>
      <c r="H59" s="469"/>
      <c r="I59" s="469"/>
      <c r="J59" s="469"/>
      <c r="K59" s="469"/>
    </row>
    <row r="60" spans="1:12">
      <c r="A60" s="469"/>
      <c r="B60" s="469" t="s">
        <v>520</v>
      </c>
      <c r="C60" s="469"/>
      <c r="D60" s="469"/>
      <c r="E60" s="469"/>
      <c r="F60" s="469"/>
      <c r="G60" s="469"/>
      <c r="H60" s="469"/>
      <c r="I60" s="469"/>
      <c r="J60" s="469"/>
      <c r="K60" s="469"/>
    </row>
    <row r="61" spans="1:12" ht="45" customHeight="1">
      <c r="A61" s="469"/>
      <c r="B61" s="469"/>
      <c r="C61" s="469"/>
      <c r="D61" s="469"/>
      <c r="E61" s="469"/>
      <c r="F61" s="469"/>
      <c r="G61" s="469"/>
      <c r="H61" s="469"/>
      <c r="I61" s="469"/>
      <c r="J61" s="469"/>
      <c r="K61" s="469"/>
      <c r="L61" s="143" t="s">
        <v>378</v>
      </c>
    </row>
    <row r="62" spans="1:12" s="469" customFormat="1" ht="13">
      <c r="A62" s="245" t="s">
        <v>31</v>
      </c>
      <c r="B62" s="245"/>
      <c r="C62" s="245"/>
      <c r="D62" s="245"/>
      <c r="E62" s="245"/>
      <c r="F62" s="245"/>
      <c r="G62" s="245"/>
      <c r="H62" s="245"/>
      <c r="I62" s="245"/>
      <c r="J62" s="245"/>
      <c r="K62" s="245"/>
      <c r="L62" s="245"/>
    </row>
    <row r="63" spans="1:12" s="469" customFormat="1" ht="13">
      <c r="A63" s="245" t="s">
        <v>261</v>
      </c>
      <c r="B63" s="245"/>
      <c r="C63" s="245"/>
      <c r="D63" s="245"/>
      <c r="E63" s="245"/>
      <c r="F63" s="245"/>
      <c r="G63" s="245"/>
      <c r="H63" s="245"/>
      <c r="I63" s="245"/>
      <c r="J63" s="245"/>
      <c r="K63" s="245"/>
      <c r="L63" s="245"/>
    </row>
    <row r="64" spans="1:12" s="469" customFormat="1" ht="13">
      <c r="A64" s="245" t="s">
        <v>262</v>
      </c>
      <c r="B64" s="245"/>
      <c r="C64" s="245"/>
      <c r="D64" s="245"/>
      <c r="E64" s="245"/>
      <c r="F64" s="245"/>
      <c r="G64" s="245"/>
      <c r="H64" s="245"/>
      <c r="I64" s="245"/>
      <c r="J64" s="245"/>
      <c r="K64" s="245"/>
      <c r="L64" s="245"/>
    </row>
    <row r="65" spans="1:12" s="469" customFormat="1" ht="13">
      <c r="A65" s="299"/>
      <c r="B65" s="299"/>
      <c r="C65" s="299"/>
      <c r="D65" s="299"/>
      <c r="E65" s="299"/>
      <c r="F65" s="299"/>
      <c r="G65" s="299"/>
      <c r="H65" s="299"/>
      <c r="I65" s="299"/>
      <c r="J65" s="299"/>
      <c r="K65" s="299"/>
      <c r="L65" s="299"/>
    </row>
    <row r="66" spans="1:12" s="469" customFormat="1" ht="12.5"/>
    <row r="67" spans="1:12" s="469" customFormat="1" ht="12.5">
      <c r="A67" s="470"/>
      <c r="B67" s="470" t="s">
        <v>309</v>
      </c>
      <c r="C67" s="470"/>
      <c r="D67" s="470"/>
      <c r="E67" s="470"/>
      <c r="F67" s="470"/>
      <c r="G67" s="470"/>
      <c r="H67" s="470"/>
      <c r="I67" s="470"/>
      <c r="J67" s="470"/>
      <c r="K67" s="470"/>
    </row>
    <row r="68" spans="1:12" s="469" customFormat="1" ht="12.5"/>
    <row r="69" spans="1:12" s="469" customFormat="1" ht="12.5">
      <c r="C69" s="252" t="s">
        <v>203</v>
      </c>
      <c r="D69" s="513" t="s">
        <v>308</v>
      </c>
      <c r="E69" s="513"/>
      <c r="F69" s="513"/>
      <c r="G69" s="513"/>
      <c r="H69" s="513"/>
      <c r="I69" s="513"/>
      <c r="J69" s="513"/>
      <c r="K69" s="252"/>
    </row>
    <row r="70" spans="1:12" s="469" customFormat="1" ht="12.5">
      <c r="C70" s="26" t="s">
        <v>8</v>
      </c>
      <c r="D70" s="77">
        <f>D47</f>
        <v>12</v>
      </c>
      <c r="E70" s="77">
        <f t="shared" ref="E70:J70" si="14">E47</f>
        <v>24</v>
      </c>
      <c r="F70" s="77">
        <f t="shared" si="14"/>
        <v>36</v>
      </c>
      <c r="G70" s="77">
        <f t="shared" si="14"/>
        <v>48</v>
      </c>
      <c r="H70" s="77">
        <f t="shared" si="14"/>
        <v>60</v>
      </c>
      <c r="I70" s="77">
        <f t="shared" si="14"/>
        <v>72</v>
      </c>
      <c r="J70" s="77">
        <f t="shared" si="14"/>
        <v>84</v>
      </c>
      <c r="K70" s="77"/>
      <c r="L70" s="26"/>
    </row>
    <row r="71" spans="1:12" s="469" customFormat="1" ht="4.5" customHeight="1"/>
    <row r="72" spans="1:12" s="469" customFormat="1" ht="12.5">
      <c r="C72" s="252">
        <f>C49</f>
        <v>2011</v>
      </c>
      <c r="D72" s="479"/>
      <c r="E72" s="479"/>
      <c r="F72" s="479"/>
      <c r="G72" s="479"/>
      <c r="H72" s="485"/>
      <c r="I72" s="485"/>
      <c r="J72" s="485">
        <v>0.90639170019480231</v>
      </c>
      <c r="K72" s="479"/>
      <c r="L72" s="479"/>
    </row>
    <row r="73" spans="1:12" s="469" customFormat="1" ht="12.5">
      <c r="C73" s="252">
        <f t="shared" ref="C73:C81" si="15">C50</f>
        <v>2012</v>
      </c>
      <c r="D73" s="479"/>
      <c r="E73" s="479"/>
      <c r="F73" s="479"/>
      <c r="G73" s="479"/>
      <c r="H73" s="485"/>
      <c r="I73" s="485">
        <v>0.88042377284592532</v>
      </c>
      <c r="J73" s="485">
        <v>0.91796873377920551</v>
      </c>
      <c r="K73" s="479"/>
      <c r="L73" s="479"/>
    </row>
    <row r="74" spans="1:12" s="469" customFormat="1" ht="12.5">
      <c r="C74" s="252">
        <f t="shared" si="15"/>
        <v>2013</v>
      </c>
      <c r="D74" s="479"/>
      <c r="E74" s="479"/>
      <c r="F74" s="479"/>
      <c r="G74" s="479"/>
      <c r="H74" s="485">
        <v>0.84251851983529769</v>
      </c>
      <c r="I74" s="485">
        <v>0.89476692239261668</v>
      </c>
      <c r="J74" s="485">
        <v>0.92940810465240642</v>
      </c>
      <c r="K74" s="479"/>
      <c r="L74" s="479"/>
    </row>
    <row r="75" spans="1:12" s="469" customFormat="1" ht="12.5">
      <c r="C75" s="252">
        <f t="shared" si="15"/>
        <v>2014</v>
      </c>
      <c r="D75" s="479"/>
      <c r="E75" s="479"/>
      <c r="F75" s="479"/>
      <c r="G75" s="141">
        <f>G52/HLOOKUP($C75,$D$41:$J$42,2,FALSE)</f>
        <v>0.77453463674652812</v>
      </c>
      <c r="H75" s="141">
        <f t="shared" ref="H75:J77" si="16">H52/HLOOKUP($C75,$D$41:$J$42,2,FALSE)</f>
        <v>0.85762461793358713</v>
      </c>
      <c r="I75" s="141">
        <f t="shared" si="16"/>
        <v>0.90497222045970649</v>
      </c>
      <c r="J75" s="141">
        <f t="shared" si="16"/>
        <v>0.93262324648268558</v>
      </c>
      <c r="K75" s="479"/>
    </row>
    <row r="76" spans="1:12" s="469" customFormat="1" ht="12.5">
      <c r="C76" s="252">
        <f t="shared" si="15"/>
        <v>2015</v>
      </c>
      <c r="D76" s="479"/>
      <c r="E76" s="479"/>
      <c r="F76" s="141">
        <f>F53/HLOOKUP($C76,$D$41:$J$42,2,FALSE)</f>
        <v>0.67310301606435374</v>
      </c>
      <c r="G76" s="141">
        <f t="shared" ref="G76" si="17">G53/HLOOKUP($C76,$D$41:$J$42,2,FALSE)</f>
        <v>0.79912093520792282</v>
      </c>
      <c r="H76" s="141">
        <f t="shared" si="16"/>
        <v>0.87325073916504703</v>
      </c>
      <c r="I76" s="141">
        <f t="shared" si="16"/>
        <v>0.91090559612713284</v>
      </c>
      <c r="J76" s="479"/>
      <c r="K76" s="479"/>
    </row>
    <row r="77" spans="1:12" s="469" customFormat="1" ht="12.5">
      <c r="C77" s="252">
        <f t="shared" si="15"/>
        <v>2016</v>
      </c>
      <c r="D77" s="479"/>
      <c r="E77" s="141">
        <f>E54/HLOOKUP($C77,$D$41:$J$42,2,FALSE)</f>
        <v>0.51147491818936686</v>
      </c>
      <c r="F77" s="141">
        <f t="shared" ref="F77:G77" si="18">F54/HLOOKUP($C77,$D$41:$J$42,2,FALSE)</f>
        <v>0.69900767377284123</v>
      </c>
      <c r="G77" s="141">
        <f t="shared" si="18"/>
        <v>0.8179668705163835</v>
      </c>
      <c r="H77" s="141">
        <f t="shared" si="16"/>
        <v>0.87727880737509845</v>
      </c>
      <c r="I77" s="479"/>
      <c r="J77" s="479"/>
      <c r="K77" s="479"/>
    </row>
    <row r="78" spans="1:12" s="469" customFormat="1" ht="12.5">
      <c r="C78" s="252">
        <f t="shared" si="15"/>
        <v>2017</v>
      </c>
      <c r="D78" s="141">
        <f>D55/HLOOKUP($C78,$D$41:$J$42,2,FALSE)</f>
        <v>0.23958588921937379</v>
      </c>
      <c r="E78" s="141">
        <f t="shared" ref="D78:E81" si="19">E55/HLOOKUP($C78,$D$41:$J$42,2,FALSE)</f>
        <v>0.5407081976516197</v>
      </c>
      <c r="F78" s="141">
        <f t="shared" ref="F78:G78" si="20">F55/HLOOKUP($C78,$D$41:$J$42,2,FALSE)</f>
        <v>0.71991331252610091</v>
      </c>
      <c r="G78" s="141">
        <f t="shared" si="20"/>
        <v>0.81859736821778128</v>
      </c>
      <c r="H78" s="479"/>
      <c r="I78" s="479"/>
      <c r="J78" s="479"/>
      <c r="K78" s="479"/>
    </row>
    <row r="79" spans="1:12" s="469" customFormat="1" ht="12.5">
      <c r="C79" s="252">
        <f t="shared" si="15"/>
        <v>2018</v>
      </c>
      <c r="D79" s="141">
        <f t="shared" si="19"/>
        <v>0.24446718125568251</v>
      </c>
      <c r="E79" s="141">
        <f t="shared" si="19"/>
        <v>0.54193541289176006</v>
      </c>
      <c r="F79" s="141">
        <f t="shared" ref="F79" si="21">F56/HLOOKUP($C79,$D$41:$J$42,2,FALSE)</f>
        <v>0.70280387637653785</v>
      </c>
      <c r="G79" s="479"/>
      <c r="H79" s="479"/>
      <c r="I79" s="479"/>
      <c r="J79" s="479"/>
      <c r="K79" s="479"/>
    </row>
    <row r="80" spans="1:12" s="469" customFormat="1" ht="12.5">
      <c r="C80" s="252">
        <f t="shared" si="15"/>
        <v>2019</v>
      </c>
      <c r="D80" s="141">
        <f t="shared" si="19"/>
        <v>0.24533180719331726</v>
      </c>
      <c r="E80" s="141">
        <f t="shared" si="19"/>
        <v>0.52032979035290861</v>
      </c>
      <c r="F80" s="479"/>
      <c r="G80" s="479"/>
      <c r="H80" s="479"/>
      <c r="I80" s="479"/>
      <c r="J80" s="479"/>
      <c r="K80" s="479"/>
    </row>
    <row r="81" spans="1:12" s="469" customFormat="1" ht="12.5">
      <c r="C81" s="252">
        <f t="shared" si="15"/>
        <v>2020</v>
      </c>
      <c r="D81" s="141">
        <f t="shared" si="19"/>
        <v>0.23601597593668</v>
      </c>
      <c r="E81" s="479"/>
      <c r="F81" s="479"/>
      <c r="G81" s="479"/>
      <c r="H81" s="479"/>
      <c r="I81" s="479"/>
      <c r="J81" s="479"/>
      <c r="K81" s="479"/>
    </row>
    <row r="82" spans="1:12" s="469" customFormat="1" ht="12.5">
      <c r="C82" s="252"/>
      <c r="D82" s="479"/>
      <c r="E82" s="479"/>
      <c r="F82" s="479"/>
      <c r="G82" s="479"/>
      <c r="H82" s="479"/>
      <c r="I82" s="479"/>
      <c r="J82" s="479"/>
      <c r="K82" s="479"/>
    </row>
    <row r="83" spans="1:12" s="469" customFormat="1" ht="12.5">
      <c r="A83" s="470"/>
      <c r="B83" s="470" t="s">
        <v>310</v>
      </c>
      <c r="C83" s="470"/>
      <c r="D83" s="470"/>
      <c r="E83" s="470"/>
      <c r="F83" s="470"/>
      <c r="G83" s="470"/>
      <c r="H83" s="470"/>
      <c r="I83" s="470"/>
      <c r="J83" s="470"/>
      <c r="K83" s="470"/>
      <c r="L83" s="470"/>
    </row>
    <row r="84" spans="1:12" s="469" customFormat="1" ht="12.5"/>
    <row r="85" spans="1:12" s="469" customFormat="1" ht="12.5">
      <c r="C85" s="252" t="s">
        <v>203</v>
      </c>
      <c r="D85" s="513" t="s">
        <v>308</v>
      </c>
      <c r="E85" s="513"/>
      <c r="F85" s="513"/>
      <c r="G85" s="513"/>
      <c r="H85" s="513"/>
      <c r="I85" s="513"/>
      <c r="J85" s="513"/>
      <c r="K85" s="252"/>
    </row>
    <row r="86" spans="1:12" s="469" customFormat="1" ht="12.5">
      <c r="C86" s="26" t="s">
        <v>8</v>
      </c>
      <c r="D86" s="77">
        <f t="shared" ref="D86:J86" si="22">+D70</f>
        <v>12</v>
      </c>
      <c r="E86" s="77">
        <f t="shared" si="22"/>
        <v>24</v>
      </c>
      <c r="F86" s="77">
        <f t="shared" si="22"/>
        <v>36</v>
      </c>
      <c r="G86" s="77">
        <f t="shared" si="22"/>
        <v>48</v>
      </c>
      <c r="H86" s="77">
        <f t="shared" si="22"/>
        <v>60</v>
      </c>
      <c r="I86" s="77">
        <f t="shared" si="22"/>
        <v>72</v>
      </c>
      <c r="J86" s="77">
        <f t="shared" si="22"/>
        <v>84</v>
      </c>
      <c r="K86" s="77"/>
    </row>
    <row r="87" spans="1:12" s="469" customFormat="1" ht="4.5" customHeight="1"/>
    <row r="88" spans="1:12" s="469" customFormat="1" ht="12.5">
      <c r="C88" s="252">
        <f t="shared" ref="C88:C97" si="23">+C72</f>
        <v>2011</v>
      </c>
      <c r="D88" s="156"/>
      <c r="E88" s="156"/>
      <c r="F88" s="156"/>
      <c r="G88" s="156"/>
      <c r="H88" s="486"/>
      <c r="I88" s="486"/>
      <c r="J88" s="486">
        <v>113037.92003765394</v>
      </c>
      <c r="K88" s="156"/>
    </row>
    <row r="89" spans="1:12" s="469" customFormat="1" ht="12.5">
      <c r="C89" s="252">
        <f t="shared" si="23"/>
        <v>2012</v>
      </c>
      <c r="D89" s="156"/>
      <c r="E89" s="156"/>
      <c r="F89" s="156"/>
      <c r="G89" s="156"/>
      <c r="H89" s="486"/>
      <c r="I89" s="486">
        <v>116948.20499698502</v>
      </c>
      <c r="J89" s="486">
        <v>119736.46344729268</v>
      </c>
      <c r="K89" s="156"/>
    </row>
    <row r="90" spans="1:12" s="469" customFormat="1" ht="12.5">
      <c r="C90" s="252">
        <f t="shared" si="23"/>
        <v>2013</v>
      </c>
      <c r="D90" s="156"/>
      <c r="E90" s="156"/>
      <c r="F90" s="156"/>
      <c r="G90" s="156"/>
      <c r="H90" s="486">
        <v>119822.93148419101</v>
      </c>
      <c r="I90" s="486">
        <v>124415.83897357207</v>
      </c>
      <c r="J90" s="486">
        <v>127382.13943435405</v>
      </c>
      <c r="K90" s="156"/>
    </row>
    <row r="91" spans="1:12" s="469" customFormat="1" ht="12.5">
      <c r="C91" s="252">
        <f t="shared" si="23"/>
        <v>2014</v>
      </c>
      <c r="D91" s="156"/>
      <c r="E91" s="156"/>
      <c r="F91" s="156"/>
      <c r="G91" s="142">
        <f t="shared" ref="G91" si="24">HLOOKUP($C91,$D$41:$J$42,2,FALSE)*G$78</f>
        <v>115842.77195262934</v>
      </c>
      <c r="H91" s="142">
        <f>HLOOKUP($C91,$D$41:$J$42,2,FALSE)*H$77</f>
        <v>124147.00164854582</v>
      </c>
      <c r="I91" s="142">
        <f>HLOOKUP($C91,$D$41:$J$42,2,FALSE)*I$76</f>
        <v>128905.65415848746</v>
      </c>
      <c r="J91" s="142">
        <f>HLOOKUP($C91,$D$41:$J$42,2,FALSE)*J$75</f>
        <v>131979</v>
      </c>
      <c r="K91" s="156"/>
    </row>
    <row r="92" spans="1:12" s="469" customFormat="1" ht="12.5">
      <c r="C92" s="252">
        <f t="shared" si="23"/>
        <v>2015</v>
      </c>
      <c r="D92" s="156"/>
      <c r="E92" s="156"/>
      <c r="F92" s="142">
        <f>HLOOKUP($C92,$D$41:$J$42,2,FALSE)*F$79</f>
        <v>102355.36047659534</v>
      </c>
      <c r="G92" s="142">
        <f>HLOOKUP($C92,$D$41:$J$42,2,FALSE)*G$78</f>
        <v>119219.36051507013</v>
      </c>
      <c r="H92" s="142">
        <f t="shared" ref="H92:H93" si="25">HLOOKUP($C92,$D$41:$J$42,2,FALSE)*H$77</f>
        <v>127765.64214515977</v>
      </c>
      <c r="I92" s="142">
        <f>HLOOKUP($C92,$D$41:$J$42,2,FALSE)*I$76</f>
        <v>132663</v>
      </c>
      <c r="J92" s="156"/>
      <c r="K92" s="156"/>
    </row>
    <row r="93" spans="1:12" s="469" customFormat="1" ht="12.5">
      <c r="C93" s="252">
        <f t="shared" si="23"/>
        <v>2016</v>
      </c>
      <c r="D93" s="156"/>
      <c r="E93" s="142">
        <f>HLOOKUP($C93,$D$41:$J$42,2,FALSE)*E$80</f>
        <v>77586.349554608358</v>
      </c>
      <c r="F93" s="142">
        <f t="shared" ref="F93:F95" si="26">HLOOKUP($C93,$D$41:$J$42,2,FALSE)*F$79</f>
        <v>104795.05158430531</v>
      </c>
      <c r="G93" s="142">
        <f t="shared" ref="G93:G94" si="27">HLOOKUP($C93,$D$41:$J$42,2,FALSE)*G$78</f>
        <v>122061.01348137467</v>
      </c>
      <c r="H93" s="142">
        <f t="shared" si="25"/>
        <v>130811</v>
      </c>
      <c r="I93" s="156"/>
      <c r="J93" s="156"/>
      <c r="K93" s="156"/>
    </row>
    <row r="94" spans="1:12" s="469" customFormat="1" ht="12.5">
      <c r="C94" s="252">
        <f t="shared" si="23"/>
        <v>2017</v>
      </c>
      <c r="D94" s="142">
        <f>HLOOKUP($C94,$D$41:$J$42,2,FALSE)*D$81</f>
        <v>35331.584095063881</v>
      </c>
      <c r="E94" s="142">
        <f t="shared" ref="E94:E96" si="28">HLOOKUP($C94,$D$41:$J$42,2,FALSE)*E$80</f>
        <v>77893.353075187406</v>
      </c>
      <c r="F94" s="142">
        <f t="shared" si="26"/>
        <v>105209.71795229831</v>
      </c>
      <c r="G94" s="142">
        <f t="shared" si="27"/>
        <v>122544</v>
      </c>
      <c r="H94" s="156"/>
      <c r="I94" s="156"/>
      <c r="J94" s="156"/>
      <c r="K94" s="156"/>
    </row>
    <row r="95" spans="1:12" s="469" customFormat="1" ht="12.5">
      <c r="C95" s="252">
        <f t="shared" si="23"/>
        <v>2018</v>
      </c>
      <c r="D95" s="142">
        <f t="shared" ref="D95:D97" si="29">HLOOKUP($C95,$D$41:$J$42,2,FALSE)*D$81</f>
        <v>36060.745200668753</v>
      </c>
      <c r="E95" s="142">
        <f t="shared" si="28"/>
        <v>79500.889360420348</v>
      </c>
      <c r="F95" s="142">
        <f t="shared" si="26"/>
        <v>107381</v>
      </c>
      <c r="G95" s="156"/>
      <c r="H95" s="156"/>
      <c r="I95" s="156"/>
      <c r="J95" s="156"/>
      <c r="K95" s="156"/>
    </row>
    <row r="96" spans="1:12" s="469" customFormat="1" ht="12.5">
      <c r="C96" s="252">
        <f t="shared" si="23"/>
        <v>2019</v>
      </c>
      <c r="D96" s="142">
        <f t="shared" si="29"/>
        <v>36659.986725374161</v>
      </c>
      <c r="E96" s="142">
        <f t="shared" si="28"/>
        <v>80822</v>
      </c>
      <c r="F96" s="156"/>
      <c r="G96" s="156"/>
      <c r="H96" s="156"/>
      <c r="I96" s="156"/>
      <c r="J96" s="156"/>
      <c r="K96" s="156"/>
    </row>
    <row r="97" spans="1:11" s="469" customFormat="1" ht="12.5">
      <c r="C97" s="252">
        <f t="shared" si="23"/>
        <v>2020</v>
      </c>
      <c r="D97" s="142">
        <f t="shared" si="29"/>
        <v>32080</v>
      </c>
      <c r="E97" s="156"/>
      <c r="F97" s="156"/>
      <c r="G97" s="156"/>
      <c r="H97" s="156"/>
      <c r="I97" s="156"/>
      <c r="J97" s="156"/>
      <c r="K97" s="156"/>
    </row>
    <row r="98" spans="1:11" s="469" customFormat="1" ht="12.5">
      <c r="C98" s="252"/>
      <c r="D98" s="156"/>
      <c r="E98" s="156"/>
      <c r="F98" s="156"/>
      <c r="G98" s="156"/>
      <c r="H98" s="156"/>
      <c r="I98" s="156"/>
      <c r="J98" s="156"/>
      <c r="K98" s="156"/>
    </row>
    <row r="99" spans="1:11" s="469" customFormat="1" ht="12.5">
      <c r="A99" s="470"/>
      <c r="B99" s="470" t="s">
        <v>269</v>
      </c>
      <c r="C99" s="470"/>
      <c r="D99" s="470"/>
      <c r="E99" s="470"/>
      <c r="F99" s="470"/>
      <c r="G99" s="470"/>
      <c r="H99" s="470"/>
      <c r="I99" s="470"/>
      <c r="J99" s="470"/>
      <c r="K99" s="470"/>
    </row>
    <row r="100" spans="1:11" s="469" customFormat="1" ht="12.5"/>
    <row r="101" spans="1:11" s="469" customFormat="1" ht="12.5">
      <c r="C101" s="252" t="s">
        <v>203</v>
      </c>
      <c r="D101" s="513" t="s">
        <v>308</v>
      </c>
      <c r="E101" s="513"/>
      <c r="F101" s="513"/>
      <c r="G101" s="513"/>
      <c r="H101" s="513"/>
      <c r="I101" s="513"/>
      <c r="J101" s="513"/>
      <c r="K101" s="252"/>
    </row>
    <row r="102" spans="1:11" s="469" customFormat="1" ht="12.5">
      <c r="C102" s="26" t="s">
        <v>8</v>
      </c>
      <c r="D102" s="77">
        <f t="shared" ref="D102:J102" si="30">+D70</f>
        <v>12</v>
      </c>
      <c r="E102" s="77">
        <f t="shared" si="30"/>
        <v>24</v>
      </c>
      <c r="F102" s="77">
        <f t="shared" si="30"/>
        <v>36</v>
      </c>
      <c r="G102" s="77">
        <f t="shared" si="30"/>
        <v>48</v>
      </c>
      <c r="H102" s="77">
        <f t="shared" si="30"/>
        <v>60</v>
      </c>
      <c r="I102" s="77">
        <f t="shared" si="30"/>
        <v>72</v>
      </c>
      <c r="J102" s="77">
        <f t="shared" si="30"/>
        <v>84</v>
      </c>
      <c r="K102" s="77"/>
    </row>
    <row r="103" spans="1:11" s="469" customFormat="1" ht="4.5" customHeight="1"/>
    <row r="104" spans="1:11" s="469" customFormat="1" ht="12.5">
      <c r="C104" s="252">
        <f t="shared" ref="C104:C111" si="31">+C72</f>
        <v>2011</v>
      </c>
      <c r="D104" s="486"/>
      <c r="E104" s="486"/>
      <c r="F104" s="486"/>
      <c r="G104" s="486"/>
      <c r="H104" s="486"/>
      <c r="I104" s="486"/>
      <c r="J104" s="486">
        <v>18460.142620106584</v>
      </c>
      <c r="K104" s="156"/>
    </row>
    <row r="105" spans="1:11" s="469" customFormat="1" ht="12.5">
      <c r="C105" s="252">
        <f t="shared" si="31"/>
        <v>2012</v>
      </c>
      <c r="D105" s="486"/>
      <c r="E105" s="486"/>
      <c r="F105" s="486"/>
      <c r="G105" s="486"/>
      <c r="H105" s="486"/>
      <c r="I105" s="486">
        <v>17065.76553313381</v>
      </c>
      <c r="J105" s="486">
        <v>18362.205107343798</v>
      </c>
      <c r="K105" s="156"/>
    </row>
    <row r="106" spans="1:11" s="469" customFormat="1" ht="12.5">
      <c r="C106" s="252">
        <f t="shared" si="31"/>
        <v>2013</v>
      </c>
      <c r="D106" s="486"/>
      <c r="E106" s="486"/>
      <c r="F106" s="486"/>
      <c r="G106" s="486"/>
      <c r="H106" s="486">
        <v>15455.458506928446</v>
      </c>
      <c r="I106" s="486">
        <v>17121.516859603013</v>
      </c>
      <c r="J106" s="486">
        <v>18252.825417707161</v>
      </c>
      <c r="K106" s="156"/>
    </row>
    <row r="107" spans="1:11" s="469" customFormat="1" ht="12.5">
      <c r="C107" s="252">
        <f t="shared" si="31"/>
        <v>2014</v>
      </c>
      <c r="D107" s="486"/>
      <c r="E107" s="486"/>
      <c r="F107" s="486"/>
      <c r="G107" s="486">
        <v>13776.967722934296</v>
      </c>
      <c r="H107" s="486">
        <v>16333.605664786332</v>
      </c>
      <c r="I107" s="486">
        <v>17929.088212328017</v>
      </c>
      <c r="J107" s="486">
        <v>18999.946142946985</v>
      </c>
      <c r="K107" s="156"/>
    </row>
    <row r="108" spans="1:11" s="469" customFormat="1" ht="12.5">
      <c r="C108" s="252">
        <f t="shared" si="31"/>
        <v>2015</v>
      </c>
      <c r="D108" s="486"/>
      <c r="E108" s="486"/>
      <c r="F108" s="486">
        <v>10887.507836211362</v>
      </c>
      <c r="G108" s="486">
        <v>14484.897589175323</v>
      </c>
      <c r="H108" s="486">
        <v>16881.978329755697</v>
      </c>
      <c r="I108" s="486">
        <v>18269.296337335956</v>
      </c>
      <c r="J108" s="486"/>
      <c r="K108" s="156"/>
    </row>
    <row r="109" spans="1:11" s="469" customFormat="1" ht="12.5">
      <c r="C109" s="252">
        <f t="shared" si="31"/>
        <v>2016</v>
      </c>
      <c r="D109" s="486"/>
      <c r="E109" s="486">
        <v>6545.1220334093841</v>
      </c>
      <c r="F109" s="486">
        <v>11026.944669909526</v>
      </c>
      <c r="G109" s="486">
        <v>14465.589429927768</v>
      </c>
      <c r="H109" s="486">
        <v>16445.314071446592</v>
      </c>
      <c r="I109" s="486"/>
      <c r="J109" s="486"/>
      <c r="K109" s="156"/>
    </row>
    <row r="110" spans="1:11" s="469" customFormat="1" ht="12.5">
      <c r="C110" s="252">
        <f t="shared" si="31"/>
        <v>2017</v>
      </c>
      <c r="D110" s="486">
        <v>2590.6089890146659</v>
      </c>
      <c r="E110" s="486">
        <v>6643.5937438228902</v>
      </c>
      <c r="F110" s="486">
        <v>11134.397435302633</v>
      </c>
      <c r="G110" s="486">
        <v>14345.948965269617</v>
      </c>
      <c r="H110" s="486"/>
      <c r="I110" s="486"/>
      <c r="J110" s="486"/>
      <c r="K110" s="156"/>
    </row>
    <row r="111" spans="1:11" s="469" customFormat="1" ht="12.5">
      <c r="C111" s="252">
        <f t="shared" si="31"/>
        <v>2018</v>
      </c>
      <c r="D111" s="486">
        <v>2871.9816074105806</v>
      </c>
      <c r="E111" s="486">
        <v>7022.1483780585013</v>
      </c>
      <c r="F111" s="486">
        <v>11390.485514197111</v>
      </c>
      <c r="G111" s="486"/>
      <c r="H111" s="486"/>
      <c r="I111" s="486"/>
      <c r="J111" s="486"/>
      <c r="K111" s="156"/>
    </row>
    <row r="112" spans="1:11" s="469" customFormat="1" ht="12.5">
      <c r="C112" s="252">
        <f>+C80</f>
        <v>2019</v>
      </c>
      <c r="D112" s="486">
        <v>3152.4905922796338</v>
      </c>
      <c r="E112" s="486">
        <v>7052.2874959788178</v>
      </c>
      <c r="F112" s="486"/>
      <c r="G112" s="486"/>
      <c r="H112" s="486"/>
      <c r="I112" s="486"/>
      <c r="J112" s="486"/>
      <c r="K112" s="156"/>
    </row>
    <row r="113" spans="1:12" s="469" customFormat="1" ht="12.5">
      <c r="C113" s="252">
        <f>+C81</f>
        <v>2020</v>
      </c>
      <c r="D113" s="486">
        <v>3288.96239276808</v>
      </c>
      <c r="E113" s="486"/>
      <c r="F113" s="486"/>
      <c r="G113" s="486"/>
      <c r="H113" s="486"/>
      <c r="I113" s="486"/>
      <c r="J113" s="486"/>
      <c r="K113" s="156"/>
    </row>
    <row r="114" spans="1:12" s="469" customFormat="1" ht="12.5">
      <c r="D114" s="156"/>
      <c r="E114" s="156"/>
      <c r="F114" s="156"/>
      <c r="G114" s="156"/>
      <c r="H114" s="156"/>
      <c r="I114" s="156"/>
      <c r="J114" s="156"/>
      <c r="K114" s="156"/>
    </row>
    <row r="115" spans="1:12" s="469" customFormat="1" ht="12.5">
      <c r="D115" s="156"/>
      <c r="E115" s="156"/>
      <c r="F115" s="156"/>
      <c r="G115" s="156"/>
      <c r="H115" s="156"/>
      <c r="I115" s="156"/>
      <c r="J115" s="156"/>
      <c r="K115" s="156"/>
    </row>
    <row r="116" spans="1:12" s="469" customFormat="1" ht="26.25" customHeight="1">
      <c r="A116" s="143" t="s">
        <v>22</v>
      </c>
      <c r="B116" s="514" t="s">
        <v>270</v>
      </c>
      <c r="C116" s="514"/>
      <c r="D116" s="514"/>
      <c r="E116" s="514"/>
      <c r="F116" s="514"/>
      <c r="G116" s="514"/>
      <c r="H116" s="514"/>
      <c r="I116" s="514"/>
      <c r="J116" s="514"/>
      <c r="K116" s="514"/>
      <c r="L116" s="473"/>
    </row>
    <row r="117" spans="1:12" s="469" customFormat="1" ht="40" customHeight="1">
      <c r="A117" s="143" t="s">
        <v>28</v>
      </c>
      <c r="B117" s="514" t="s">
        <v>271</v>
      </c>
      <c r="C117" s="514"/>
      <c r="D117" s="514"/>
      <c r="E117" s="514"/>
      <c r="F117" s="514"/>
      <c r="G117" s="514"/>
      <c r="H117" s="514"/>
      <c r="I117" s="514"/>
      <c r="J117" s="514"/>
      <c r="K117" s="514"/>
      <c r="L117" s="473"/>
    </row>
    <row r="118" spans="1:12" s="469" customFormat="1" ht="12.5"/>
    <row r="119" spans="1:12" s="469" customFormat="1" ht="12.5">
      <c r="B119" s="469" t="s">
        <v>520</v>
      </c>
    </row>
    <row r="120" spans="1:12" ht="45" customHeight="1">
      <c r="A120" s="469"/>
      <c r="B120" s="469"/>
      <c r="C120" s="252"/>
      <c r="D120" s="156"/>
      <c r="E120" s="73"/>
      <c r="F120" s="73"/>
      <c r="G120" s="73"/>
      <c r="H120" s="73"/>
      <c r="I120" s="156"/>
      <c r="J120" s="469"/>
      <c r="K120" s="469"/>
      <c r="L120" s="143" t="s">
        <v>379</v>
      </c>
    </row>
    <row r="121" spans="1:12" s="469" customFormat="1" ht="13">
      <c r="A121" s="245" t="s">
        <v>31</v>
      </c>
      <c r="B121" s="245"/>
      <c r="C121" s="245"/>
      <c r="D121" s="245"/>
      <c r="E121" s="245"/>
      <c r="F121" s="245"/>
      <c r="G121" s="245"/>
      <c r="H121" s="245"/>
      <c r="I121" s="245"/>
      <c r="J121" s="245"/>
      <c r="K121" s="245"/>
      <c r="L121" s="245"/>
    </row>
    <row r="122" spans="1:12" s="469" customFormat="1" ht="13">
      <c r="A122" s="245" t="s">
        <v>261</v>
      </c>
      <c r="B122" s="245"/>
      <c r="C122" s="245"/>
      <c r="D122" s="245"/>
      <c r="E122" s="245"/>
      <c r="F122" s="245"/>
      <c r="G122" s="245"/>
      <c r="H122" s="245"/>
      <c r="I122" s="245"/>
      <c r="J122" s="245"/>
      <c r="K122" s="245"/>
      <c r="L122" s="245"/>
    </row>
    <row r="123" spans="1:12" s="469" customFormat="1" ht="13">
      <c r="A123" s="245" t="s">
        <v>262</v>
      </c>
      <c r="B123" s="245"/>
      <c r="C123" s="245"/>
      <c r="D123" s="245"/>
      <c r="E123" s="245"/>
      <c r="F123" s="245"/>
      <c r="G123" s="245"/>
      <c r="H123" s="245"/>
      <c r="I123" s="245"/>
      <c r="J123" s="245"/>
      <c r="K123" s="245"/>
      <c r="L123" s="245"/>
    </row>
    <row r="124" spans="1:12" s="469" customFormat="1" ht="13">
      <c r="A124" s="299"/>
      <c r="B124" s="299"/>
      <c r="C124" s="299"/>
      <c r="D124" s="299"/>
      <c r="E124" s="299"/>
      <c r="F124" s="299"/>
      <c r="G124" s="299"/>
      <c r="H124" s="299"/>
      <c r="I124" s="299"/>
      <c r="J124" s="299"/>
      <c r="K124" s="299"/>
      <c r="L124" s="299"/>
    </row>
    <row r="125" spans="1:12" s="469" customFormat="1" ht="12.5"/>
    <row r="126" spans="1:12" s="469" customFormat="1" ht="12.5">
      <c r="A126" s="470"/>
      <c r="B126" s="470" t="s">
        <v>311</v>
      </c>
      <c r="C126" s="470"/>
      <c r="D126" s="470"/>
      <c r="E126" s="470"/>
      <c r="F126" s="470"/>
      <c r="G126" s="470"/>
      <c r="H126" s="470"/>
      <c r="I126" s="470"/>
      <c r="J126" s="470"/>
      <c r="K126" s="470"/>
    </row>
    <row r="127" spans="1:12" s="469" customFormat="1" ht="12.5"/>
    <row r="128" spans="1:12" s="469" customFormat="1" ht="12.5">
      <c r="C128" s="252" t="s">
        <v>203</v>
      </c>
      <c r="D128" s="513" t="s">
        <v>308</v>
      </c>
      <c r="E128" s="513"/>
      <c r="F128" s="513"/>
      <c r="G128" s="513"/>
      <c r="H128" s="513"/>
      <c r="I128" s="513"/>
      <c r="J128" s="513"/>
      <c r="K128" s="252"/>
    </row>
    <row r="129" spans="1:11" s="469" customFormat="1" ht="12.5">
      <c r="C129" s="26" t="s">
        <v>8</v>
      </c>
      <c r="D129" s="77">
        <f t="shared" ref="D129:J129" si="32">D102</f>
        <v>12</v>
      </c>
      <c r="E129" s="77">
        <f t="shared" si="32"/>
        <v>24</v>
      </c>
      <c r="F129" s="77">
        <f t="shared" si="32"/>
        <v>36</v>
      </c>
      <c r="G129" s="77">
        <f t="shared" si="32"/>
        <v>48</v>
      </c>
      <c r="H129" s="77">
        <f t="shared" si="32"/>
        <v>60</v>
      </c>
      <c r="I129" s="77">
        <f t="shared" si="32"/>
        <v>72</v>
      </c>
      <c r="J129" s="77">
        <f t="shared" si="32"/>
        <v>84</v>
      </c>
      <c r="K129" s="77"/>
    </row>
    <row r="130" spans="1:11" s="469" customFormat="1" ht="4.5" customHeight="1"/>
    <row r="131" spans="1:11" s="469" customFormat="1" ht="12.5">
      <c r="C131" s="252">
        <f t="shared" ref="C131:C140" si="33">C104</f>
        <v>2011</v>
      </c>
      <c r="D131" s="156"/>
      <c r="E131" s="156"/>
      <c r="F131" s="156"/>
      <c r="G131" s="156"/>
      <c r="H131" s="486"/>
      <c r="I131" s="486"/>
      <c r="J131" s="486">
        <v>19554.808460044304</v>
      </c>
      <c r="K131" s="156"/>
    </row>
    <row r="132" spans="1:11" s="469" customFormat="1" ht="12.5">
      <c r="C132" s="252">
        <f t="shared" si="33"/>
        <v>2012</v>
      </c>
      <c r="D132" s="156"/>
      <c r="E132" s="156"/>
      <c r="F132" s="156"/>
      <c r="G132" s="156"/>
      <c r="H132" s="486"/>
      <c r="I132" s="486">
        <v>18111.253216262412</v>
      </c>
      <c r="J132" s="486">
        <v>18980.104437753558</v>
      </c>
      <c r="K132" s="156"/>
    </row>
    <row r="133" spans="1:11" s="469" customFormat="1" ht="12.5">
      <c r="C133" s="252">
        <f t="shared" si="33"/>
        <v>2013</v>
      </c>
      <c r="D133" s="156"/>
      <c r="E133" s="156"/>
      <c r="F133" s="156"/>
      <c r="G133" s="156"/>
      <c r="H133" s="486">
        <v>16544.979223098344</v>
      </c>
      <c r="I133" s="486">
        <v>17639.774116804048</v>
      </c>
      <c r="J133" s="486">
        <v>18384.124392935835</v>
      </c>
      <c r="K133" s="156"/>
    </row>
    <row r="134" spans="1:11" s="469" customFormat="1" ht="12.5">
      <c r="C134" s="252">
        <f t="shared" si="33"/>
        <v>2014</v>
      </c>
      <c r="D134" s="156"/>
      <c r="E134" s="156"/>
      <c r="F134" s="156"/>
      <c r="G134" s="215">
        <f>+IF(G91&lt;G52,INDEX(LOGEST(F107:G107,F52:G52),2)*EXP((INDEX(LOGEST(F107:G107,F52:G52),1)-1)*G91),INDEX(LOGEST(G107:H107,G52:H52),2)*EXP((INDEX(LOGEST(G107:H107,G52:H52),1)-1)*G91))</f>
        <v>15078.677715445383</v>
      </c>
      <c r="H134" s="215">
        <f>+IF(H91&lt;H52,INDEX(LOGEST(G107:H107,G52:H52),2)*EXP((INDEX(LOGEST(G107:H107,G52:H52),1)-1)*H91),INDEX(LOGEST(H107:I107,H52:I52),2)*EXP((INDEX(LOGEST(H107:I107,H52:I52),1)-1)*H91))</f>
        <v>16978.100408066504</v>
      </c>
      <c r="I134" s="215">
        <f>+IF(I91&lt;I52,INDEX(LOGEST(H107:I107,H52:I52),2)*EXP((INDEX(LOGEST(H107:I107,H52:I52),1)-1)*I91),INDEX(LOGEST(I107:J107,I52:J52),2)*EXP((INDEX(LOGEST(I107:J107,I52:J52),1)-1)*I91))</f>
        <v>18153.925016974983</v>
      </c>
      <c r="J134" s="142">
        <f>J107</f>
        <v>18999.946142946985</v>
      </c>
      <c r="K134" s="156"/>
    </row>
    <row r="135" spans="1:11" s="469" customFormat="1" ht="12.5">
      <c r="C135" s="252">
        <f t="shared" si="33"/>
        <v>2015</v>
      </c>
      <c r="D135" s="156"/>
      <c r="E135" s="156"/>
      <c r="F135" s="215">
        <f>+IF(F92&lt;F53,INDEX(LOGEST(E108:F108,E53:F53),2)*EXP((INDEX(LOGEST(E108:F108,E53:F53),1)-1)*F92),INDEX(LOGEST(F108:G108,F53:G53),2)*EXP((INDEX(LOGEST(F108:G108,F53:G53),1)-1)*F92))</f>
        <v>11645.443816058312</v>
      </c>
      <c r="G135" s="215">
        <f>+IF(G92&lt;G53,INDEX(LOGEST(F108:G108,F53:G53),2)*EXP((INDEX(LOGEST(F108:G108,F53:G53),1)-1)*G92),INDEX(LOGEST(G108:H108,G53:H53),2)*EXP((INDEX(LOGEST(G108:H108,G53:H53),1)-1)*G92))</f>
        <v>15079.763787025011</v>
      </c>
      <c r="H135" s="215">
        <f>+IF(H92&lt;H53,INDEX(LOGEST(G108:H108,G53:H53),2)*EXP((INDEX(LOGEST(G108:H108,G53:H53),1)-1)*H92),INDEX(LOGEST(H108:I108,H53:I53),2)*EXP((INDEX(LOGEST(H108:I108,H53:I53),1)-1)*H92))</f>
        <v>17025.431106045115</v>
      </c>
      <c r="I135" s="156">
        <f>I108</f>
        <v>18269.296337335956</v>
      </c>
      <c r="J135" s="156"/>
      <c r="K135" s="156"/>
    </row>
    <row r="136" spans="1:11" s="469" customFormat="1" ht="12.5">
      <c r="C136" s="252">
        <f t="shared" si="33"/>
        <v>2016</v>
      </c>
      <c r="D136" s="156"/>
      <c r="E136" s="215">
        <f>+IF(E93&lt;E54,INDEX(LOGEST(D109:E109,D54:E54),2)*EXP((INDEX(LOGEST(D109:E109,D54:E54),1)-1)*E93),INDEX(LOGEST(E109:F109,E54:F54),2)*EXP((INDEX(LOGEST(E109:F109,E54:F54),1)-1)*E93))</f>
        <v>6708.4192469256959</v>
      </c>
      <c r="F136" s="215">
        <f>+IF(F93&lt;F54,INDEX(LOGEST(E109:F109,E54:F54),2)*EXP((INDEX(LOGEST(E109:F109,E54:F54),1)-1)*F93),INDEX(LOGEST(F109:G109,F54:G54),2)*EXP((INDEX(LOGEST(F109:G109,F54:G54),1)-1)*F93))</f>
        <v>11123.009736880702</v>
      </c>
      <c r="G136" s="215">
        <f>+IF(G93&lt;G54,INDEX(LOGEST(F109:G109,F54:G54),2)*EXP((INDEX(LOGEST(F109:G109,F54:G54),1)-1)*G93),INDEX(LOGEST(G109:H109,G54:H54),2)*EXP((INDEX(LOGEST(G109:H109,G54:H54),1)-1)*G93))</f>
        <v>14485.512865249068</v>
      </c>
      <c r="H136" s="156">
        <f>H109</f>
        <v>16445.314071446592</v>
      </c>
      <c r="I136" s="156"/>
      <c r="J136" s="156"/>
      <c r="K136" s="156"/>
    </row>
    <row r="137" spans="1:11" s="469" customFormat="1" ht="12.5">
      <c r="C137" s="252">
        <f t="shared" si="33"/>
        <v>2017</v>
      </c>
      <c r="D137" s="215">
        <f>INDEX(LOGEST(D110:E110,D55:E55),2)*EXP((INDEX(LOGEST(D110:E110,D55:E55),1)-1)*D94)</f>
        <v>2561.8657079665959</v>
      </c>
      <c r="E137" s="215">
        <f>+IF(E94&lt;E55,INDEX(LOGEST(D110:E110,D55:E55),2)*EXP((INDEX(LOGEST(D110:E110,D55:E55),1)-1)*E94),INDEX(LOGEST(E110:F110,E55:F55),2)*EXP((INDEX(LOGEST(E110:F110,E55:F55),1)-1)*E94))</f>
        <v>6233.4912602152481</v>
      </c>
      <c r="F137" s="215">
        <f>+IF(F94&lt;F55,INDEX(LOGEST(E110:F110,E55:F55),2)*EXP((INDEX(LOGEST(E110:F110,E55:F55),1)-1)*F94),INDEX(LOGEST(F110:G110,F55:G55),2)*EXP((INDEX(LOGEST(F110:G110,F55:G55),1)-1)*F94))</f>
        <v>10598.974011681812</v>
      </c>
      <c r="G137" s="156">
        <f>G110</f>
        <v>14345.948965269617</v>
      </c>
      <c r="H137" s="156"/>
      <c r="I137" s="156"/>
      <c r="J137" s="156"/>
      <c r="K137" s="156"/>
    </row>
    <row r="138" spans="1:11" s="469" customFormat="1" ht="12.5">
      <c r="C138" s="252">
        <f t="shared" si="33"/>
        <v>2018</v>
      </c>
      <c r="D138" s="215">
        <f>INDEX(LOGEST(D111:E111,D56:E56),2)*EXP((INDEX(LOGEST(D111:E111,D56:E56),1)-1)*D95)</f>
        <v>2799.9691032487367</v>
      </c>
      <c r="E138" s="215">
        <f>+IF(E95&lt;E56,INDEX(LOGEST(D111:E111,D56:E56),2)*EXP((INDEX(LOGEST(D111:E111,D56:E56),1)-1)*E95),INDEX(LOGEST(E111:F111,E56:F56),2)*EXP((INDEX(LOGEST(E111:F111,E56:F56),1)-1)*E95))</f>
        <v>6580.7386068716869</v>
      </c>
      <c r="F138" s="156">
        <f>F111</f>
        <v>11390.485514197111</v>
      </c>
      <c r="G138" s="156"/>
      <c r="H138" s="156"/>
      <c r="I138" s="156"/>
      <c r="J138" s="156"/>
      <c r="K138" s="156"/>
    </row>
    <row r="139" spans="1:11" s="469" customFormat="1" ht="12.5">
      <c r="C139" s="252">
        <f t="shared" si="33"/>
        <v>2019</v>
      </c>
      <c r="D139" s="215">
        <f>INDEX(LOGEST(D112:E112,D57:E57),2)*EXP((INDEX(LOGEST(D112:E112,D57:E57),1)-1)*D96)</f>
        <v>3067.6866541378708</v>
      </c>
      <c r="E139" s="156">
        <f>E112</f>
        <v>7052.2874959788178</v>
      </c>
      <c r="F139" s="156"/>
      <c r="G139" s="156"/>
      <c r="H139" s="156"/>
      <c r="I139" s="156"/>
      <c r="J139" s="156"/>
      <c r="K139" s="156"/>
    </row>
    <row r="140" spans="1:11" s="469" customFormat="1" ht="12.5">
      <c r="C140" s="252">
        <f t="shared" si="33"/>
        <v>2020</v>
      </c>
      <c r="D140" s="142">
        <f>D113</f>
        <v>3288.96239276808</v>
      </c>
      <c r="F140" s="156"/>
      <c r="G140" s="156"/>
      <c r="H140" s="156"/>
      <c r="I140" s="156"/>
      <c r="J140" s="156"/>
      <c r="K140" s="156"/>
    </row>
    <row r="141" spans="1:11" s="469" customFormat="1" ht="12.5">
      <c r="D141" s="156"/>
      <c r="E141" s="156"/>
      <c r="F141" s="156"/>
      <c r="G141" s="156"/>
      <c r="H141" s="156"/>
      <c r="I141" s="156"/>
      <c r="J141" s="156"/>
      <c r="K141" s="156"/>
    </row>
    <row r="142" spans="1:11" s="469" customFormat="1" ht="12.5">
      <c r="A142" s="470"/>
      <c r="B142" s="470" t="s">
        <v>312</v>
      </c>
      <c r="C142" s="470"/>
      <c r="D142" s="470"/>
      <c r="E142" s="470"/>
      <c r="F142" s="470"/>
      <c r="G142" s="470"/>
      <c r="H142" s="470"/>
      <c r="I142" s="470"/>
      <c r="J142" s="470"/>
      <c r="K142" s="470"/>
    </row>
    <row r="143" spans="1:11" s="469" customFormat="1" ht="12.5"/>
    <row r="144" spans="1:11" s="469" customFormat="1" ht="12.5">
      <c r="C144" s="252" t="s">
        <v>203</v>
      </c>
      <c r="D144" s="513" t="s">
        <v>308</v>
      </c>
      <c r="E144" s="513"/>
      <c r="F144" s="513"/>
      <c r="G144" s="513"/>
      <c r="H144" s="513"/>
      <c r="I144" s="513"/>
      <c r="J144" s="513"/>
      <c r="K144" s="252"/>
    </row>
    <row r="145" spans="1:11" s="469" customFormat="1" ht="12.5">
      <c r="C145" s="26" t="s">
        <v>8</v>
      </c>
      <c r="D145" s="77">
        <f t="shared" ref="D145:J145" si="34">+D129</f>
        <v>12</v>
      </c>
      <c r="E145" s="77">
        <f t="shared" si="34"/>
        <v>24</v>
      </c>
      <c r="F145" s="77">
        <f t="shared" si="34"/>
        <v>36</v>
      </c>
      <c r="G145" s="77">
        <f t="shared" si="34"/>
        <v>48</v>
      </c>
      <c r="H145" s="77">
        <f t="shared" si="34"/>
        <v>60</v>
      </c>
      <c r="I145" s="77">
        <f t="shared" si="34"/>
        <v>72</v>
      </c>
      <c r="J145" s="77">
        <f t="shared" si="34"/>
        <v>84</v>
      </c>
      <c r="K145" s="77"/>
    </row>
    <row r="146" spans="1:11" s="469" customFormat="1" ht="4.5" customHeight="1"/>
    <row r="147" spans="1:11" s="469" customFormat="1" ht="12.5">
      <c r="C147" s="252">
        <f>+C131</f>
        <v>2011</v>
      </c>
      <c r="D147" s="156"/>
      <c r="E147" s="156"/>
      <c r="F147" s="156"/>
      <c r="G147" s="156"/>
      <c r="H147" s="156"/>
      <c r="I147" s="156"/>
      <c r="J147" s="142">
        <f t="shared" ref="J147" si="35">J131*J88/1000</f>
        <v>2210434.8750581271</v>
      </c>
      <c r="K147" s="156"/>
    </row>
    <row r="148" spans="1:11" s="469" customFormat="1" ht="12.5">
      <c r="C148" s="252">
        <f t="shared" ref="C148:C156" si="36">+C132</f>
        <v>2012</v>
      </c>
      <c r="D148" s="156"/>
      <c r="E148" s="156"/>
      <c r="F148" s="156"/>
      <c r="G148" s="156"/>
      <c r="H148" s="156"/>
      <c r="I148" s="142">
        <f t="shared" ref="I148:J148" si="37">I132*I89/1000</f>
        <v>2118078.5538877607</v>
      </c>
      <c r="J148" s="142">
        <f t="shared" si="37"/>
        <v>2272610.5812368765</v>
      </c>
      <c r="K148" s="156"/>
    </row>
    <row r="149" spans="1:11" s="469" customFormat="1" ht="12.5">
      <c r="C149" s="252">
        <f t="shared" si="36"/>
        <v>2013</v>
      </c>
      <c r="D149" s="156"/>
      <c r="E149" s="156"/>
      <c r="F149" s="156"/>
      <c r="G149" s="156"/>
      <c r="H149" s="142">
        <f t="shared" ref="H149:J149" si="38">H133*H90/1000</f>
        <v>1982467.9118566767</v>
      </c>
      <c r="I149" s="142">
        <f t="shared" si="38"/>
        <v>2194667.2960464768</v>
      </c>
      <c r="J149" s="142">
        <f t="shared" si="38"/>
        <v>2341809.0967994616</v>
      </c>
      <c r="K149" s="156"/>
    </row>
    <row r="150" spans="1:11" s="469" customFormat="1" ht="12.5">
      <c r="C150" s="252">
        <f t="shared" si="36"/>
        <v>2014</v>
      </c>
      <c r="D150" s="156"/>
      <c r="E150" s="156"/>
      <c r="F150" s="156"/>
      <c r="G150" s="142">
        <f t="shared" ref="G150:I150" si="39">G134*G91/1000</f>
        <v>1746755.8239375334</v>
      </c>
      <c r="H150" s="142">
        <f t="shared" si="39"/>
        <v>2107780.2593494086</v>
      </c>
      <c r="I150" s="142">
        <f t="shared" si="39"/>
        <v>2340143.5798572907</v>
      </c>
      <c r="J150" s="142">
        <f>J134*J91/1000</f>
        <v>2507593.892</v>
      </c>
      <c r="K150" s="156"/>
    </row>
    <row r="151" spans="1:11" s="469" customFormat="1" ht="12.5">
      <c r="C151" s="252">
        <f t="shared" si="36"/>
        <v>2015</v>
      </c>
      <c r="D151" s="156"/>
      <c r="E151" s="156"/>
      <c r="F151" s="142">
        <f t="shared" ref="F151:H151" si="40">F135*F92/1000</f>
        <v>1191973.5997025864</v>
      </c>
      <c r="G151" s="142">
        <f t="shared" si="40"/>
        <v>1797799.795407434</v>
      </c>
      <c r="H151" s="142">
        <f t="shared" si="40"/>
        <v>2175265.1380620319</v>
      </c>
      <c r="I151" s="142">
        <f>I135*I92/1000</f>
        <v>2423659.66</v>
      </c>
      <c r="J151" s="156"/>
      <c r="K151" s="156"/>
    </row>
    <row r="152" spans="1:11" s="469" customFormat="1" ht="12.5">
      <c r="C152" s="252">
        <f t="shared" si="36"/>
        <v>2016</v>
      </c>
      <c r="D152" s="156"/>
      <c r="E152" s="142">
        <f t="shared" ref="D152:E155" si="41">E136*E93/1000</f>
        <v>520481.7606508396</v>
      </c>
      <c r="F152" s="142">
        <f t="shared" ref="F152:G152" si="42">F136*F93/1000</f>
        <v>1165636.3791491434</v>
      </c>
      <c r="G152" s="142">
        <f t="shared" si="42"/>
        <v>1768116.3811297927</v>
      </c>
      <c r="H152" s="142">
        <f>H136*H93/1000</f>
        <v>2151227.9789999998</v>
      </c>
      <c r="I152" s="156"/>
      <c r="J152" s="156"/>
      <c r="K152" s="156"/>
    </row>
    <row r="153" spans="1:11" s="469" customFormat="1" ht="12.5">
      <c r="C153" s="252">
        <f t="shared" si="36"/>
        <v>2017</v>
      </c>
      <c r="D153" s="142">
        <f t="shared" si="41"/>
        <v>90514.773701282145</v>
      </c>
      <c r="E153" s="142">
        <f t="shared" si="41"/>
        <v>485547.53562304121</v>
      </c>
      <c r="F153" s="142">
        <f t="shared" ref="F153" si="43">F137*F94/1000</f>
        <v>1115115.0663527832</v>
      </c>
      <c r="G153" s="142">
        <f>G137*G94/1000</f>
        <v>1758009.97</v>
      </c>
      <c r="H153" s="156"/>
      <c r="I153" s="156"/>
      <c r="J153" s="156"/>
      <c r="K153" s="156"/>
    </row>
    <row r="154" spans="1:11" s="469" customFormat="1" ht="12.5">
      <c r="C154" s="252">
        <f t="shared" si="36"/>
        <v>2018</v>
      </c>
      <c r="D154" s="142">
        <f t="shared" si="41"/>
        <v>100968.97240199767</v>
      </c>
      <c r="E154" s="142">
        <f t="shared" si="41"/>
        <v>523174.57189475273</v>
      </c>
      <c r="F154" s="142">
        <f>F138*F95/1000</f>
        <v>1223121.7250000001</v>
      </c>
      <c r="G154" s="156"/>
      <c r="H154" s="156"/>
      <c r="I154" s="156"/>
      <c r="J154" s="156"/>
      <c r="K154" s="156"/>
    </row>
    <row r="155" spans="1:11" s="469" customFormat="1" ht="12.5">
      <c r="C155" s="252">
        <f t="shared" si="36"/>
        <v>2019</v>
      </c>
      <c r="D155" s="142">
        <f t="shared" si="41"/>
        <v>112461.35201830181</v>
      </c>
      <c r="E155" s="142">
        <f>E139*E96/1000</f>
        <v>569979.98</v>
      </c>
      <c r="F155" s="156"/>
      <c r="G155" s="156"/>
      <c r="H155" s="156"/>
      <c r="I155" s="156"/>
      <c r="J155" s="156"/>
      <c r="K155" s="156"/>
    </row>
    <row r="156" spans="1:11" s="469" customFormat="1" ht="12.5">
      <c r="C156" s="252">
        <f t="shared" si="36"/>
        <v>2020</v>
      </c>
      <c r="D156" s="142">
        <f>D140*D97/1000</f>
        <v>105509.91356</v>
      </c>
      <c r="F156" s="156"/>
      <c r="G156" s="156"/>
      <c r="H156" s="156"/>
      <c r="I156" s="156"/>
      <c r="J156" s="156"/>
      <c r="K156" s="156"/>
    </row>
    <row r="157" spans="1:11" s="469" customFormat="1" ht="12.5">
      <c r="E157" s="156"/>
      <c r="F157" s="156"/>
      <c r="G157" s="156"/>
      <c r="H157" s="156"/>
      <c r="I157" s="156"/>
      <c r="J157" s="156"/>
      <c r="K157" s="156"/>
    </row>
    <row r="158" spans="1:11" s="469" customFormat="1" ht="12.5">
      <c r="A158" s="470"/>
      <c r="B158" s="470" t="s">
        <v>272</v>
      </c>
      <c r="C158" s="470"/>
      <c r="D158" s="470"/>
      <c r="E158" s="470"/>
      <c r="F158" s="470"/>
      <c r="G158" s="470"/>
      <c r="H158" s="470"/>
      <c r="I158" s="470"/>
      <c r="J158" s="470"/>
      <c r="K158" s="470"/>
    </row>
    <row r="159" spans="1:11" s="469" customFormat="1" ht="12.5"/>
    <row r="160" spans="1:11" s="469" customFormat="1" ht="12.5">
      <c r="C160" s="252" t="s">
        <v>203</v>
      </c>
      <c r="D160" s="513" t="s">
        <v>308</v>
      </c>
      <c r="E160" s="513"/>
      <c r="F160" s="513"/>
      <c r="G160" s="513"/>
      <c r="H160" s="513"/>
      <c r="I160" s="513"/>
      <c r="J160" s="513"/>
      <c r="K160" s="252"/>
    </row>
    <row r="161" spans="1:12" s="469" customFormat="1" ht="12.5">
      <c r="C161" s="26" t="s">
        <v>8</v>
      </c>
      <c r="D161" s="77">
        <f t="shared" ref="D161:J161" si="44">+D129</f>
        <v>12</v>
      </c>
      <c r="E161" s="77">
        <f t="shared" si="44"/>
        <v>24</v>
      </c>
      <c r="F161" s="77">
        <f t="shared" si="44"/>
        <v>36</v>
      </c>
      <c r="G161" s="77">
        <f t="shared" si="44"/>
        <v>48</v>
      </c>
      <c r="H161" s="77">
        <f t="shared" si="44"/>
        <v>60</v>
      </c>
      <c r="I161" s="77">
        <f t="shared" si="44"/>
        <v>72</v>
      </c>
      <c r="J161" s="77">
        <f t="shared" si="44"/>
        <v>84</v>
      </c>
      <c r="K161" s="77"/>
    </row>
    <row r="162" spans="1:12" s="469" customFormat="1" ht="4.5" customHeight="1"/>
    <row r="163" spans="1:12" s="469" customFormat="1" ht="12.5">
      <c r="C163" s="252">
        <f>+C131</f>
        <v>2011</v>
      </c>
      <c r="D163" s="486"/>
      <c r="E163" s="486"/>
      <c r="F163" s="486"/>
      <c r="G163" s="486"/>
      <c r="H163" s="486"/>
      <c r="I163" s="486"/>
      <c r="J163" s="486">
        <v>456024.52713353297</v>
      </c>
      <c r="K163" s="156"/>
    </row>
    <row r="164" spans="1:12" s="469" customFormat="1" ht="12.5">
      <c r="C164" s="252">
        <f t="shared" ref="C164:C172" si="45">+C132</f>
        <v>2012</v>
      </c>
      <c r="D164" s="486"/>
      <c r="E164" s="486"/>
      <c r="F164" s="486"/>
      <c r="G164" s="486"/>
      <c r="H164" s="486"/>
      <c r="I164" s="486">
        <v>536174.54531585285</v>
      </c>
      <c r="J164" s="486">
        <v>426743.15856652881</v>
      </c>
      <c r="K164" s="156"/>
    </row>
    <row r="165" spans="1:12" s="469" customFormat="1" ht="12.5">
      <c r="C165" s="252">
        <f t="shared" si="45"/>
        <v>2013</v>
      </c>
      <c r="D165" s="486"/>
      <c r="E165" s="486"/>
      <c r="F165" s="486"/>
      <c r="G165" s="486"/>
      <c r="H165" s="486">
        <v>637104.26016924239</v>
      </c>
      <c r="I165" s="486">
        <v>497165.70404173445</v>
      </c>
      <c r="J165" s="486">
        <v>385963.75</v>
      </c>
      <c r="K165" s="156"/>
    </row>
    <row r="166" spans="1:12" s="469" customFormat="1" ht="12.5">
      <c r="C166" s="252">
        <f t="shared" si="45"/>
        <v>2014</v>
      </c>
      <c r="D166" s="486"/>
      <c r="E166" s="486"/>
      <c r="F166" s="486"/>
      <c r="G166" s="486">
        <v>799758.55571496871</v>
      </c>
      <c r="H166" s="486">
        <v>624527.49879655533</v>
      </c>
      <c r="I166" s="486">
        <v>496264.85</v>
      </c>
      <c r="J166" s="486">
        <v>392817.70899999997</v>
      </c>
      <c r="K166" s="156"/>
    </row>
    <row r="167" spans="1:12" s="469" customFormat="1" ht="12.5">
      <c r="C167" s="252">
        <f t="shared" si="45"/>
        <v>2015</v>
      </c>
      <c r="D167" s="486"/>
      <c r="E167" s="486"/>
      <c r="F167" s="486">
        <v>900928.53848971939</v>
      </c>
      <c r="G167" s="486">
        <v>761793.23505462124</v>
      </c>
      <c r="H167" s="486">
        <v>591679.41300000029</v>
      </c>
      <c r="I167" s="486">
        <v>473978.67800000001</v>
      </c>
      <c r="J167" s="486"/>
      <c r="K167" s="156"/>
    </row>
    <row r="168" spans="1:12" s="469" customFormat="1" ht="12.5">
      <c r="C168" s="252">
        <f t="shared" si="45"/>
        <v>2016</v>
      </c>
      <c r="D168" s="486"/>
      <c r="E168" s="486">
        <v>769029.62799999979</v>
      </c>
      <c r="F168" s="486">
        <v>862526.23199999973</v>
      </c>
      <c r="G168" s="486">
        <v>710796.56900000002</v>
      </c>
      <c r="H168" s="486">
        <v>577920.25199999998</v>
      </c>
      <c r="I168" s="486"/>
      <c r="J168" s="486"/>
      <c r="K168" s="156"/>
    </row>
    <row r="169" spans="1:12" s="469" customFormat="1" ht="12.5">
      <c r="C169" s="252">
        <f t="shared" si="45"/>
        <v>2017</v>
      </c>
      <c r="D169" s="486">
        <v>317152.67599999992</v>
      </c>
      <c r="E169" s="486">
        <v>768512.70099999977</v>
      </c>
      <c r="F169" s="486">
        <v>850083.70499999973</v>
      </c>
      <c r="G169" s="486">
        <v>721695.13699999999</v>
      </c>
      <c r="H169" s="486"/>
      <c r="I169" s="486"/>
      <c r="J169" s="486"/>
      <c r="K169" s="156"/>
    </row>
    <row r="170" spans="1:12" s="469" customFormat="1" ht="12.5">
      <c r="C170" s="252">
        <f t="shared" si="45"/>
        <v>2018</v>
      </c>
      <c r="D170" s="486">
        <v>339707.28600000002</v>
      </c>
      <c r="E170" s="486">
        <v>808530.86199999996</v>
      </c>
      <c r="F170" s="486">
        <v>898028.63</v>
      </c>
      <c r="G170" s="486"/>
      <c r="H170" s="486"/>
      <c r="I170" s="486"/>
      <c r="J170" s="486"/>
      <c r="K170" s="156"/>
    </row>
    <row r="171" spans="1:12" s="469" customFormat="1" ht="12.5">
      <c r="C171" s="252">
        <f t="shared" si="45"/>
        <v>2019</v>
      </c>
      <c r="D171" s="486">
        <v>354758.81400000001</v>
      </c>
      <c r="E171" s="486">
        <v>884686.69799999997</v>
      </c>
      <c r="F171" s="486"/>
      <c r="G171" s="486"/>
      <c r="H171" s="486"/>
      <c r="I171" s="486"/>
      <c r="J171" s="486"/>
      <c r="K171" s="156"/>
    </row>
    <row r="172" spans="1:12" s="469" customFormat="1" ht="12.5">
      <c r="C172" s="252">
        <f t="shared" si="45"/>
        <v>2020</v>
      </c>
      <c r="D172" s="486">
        <v>349369.61984</v>
      </c>
      <c r="E172" s="486"/>
      <c r="F172" s="486"/>
      <c r="G172" s="486"/>
      <c r="H172" s="486"/>
      <c r="I172" s="486"/>
      <c r="J172" s="486"/>
      <c r="K172" s="156"/>
    </row>
    <row r="173" spans="1:12" s="469" customFormat="1" ht="12.5">
      <c r="C173" s="252"/>
      <c r="D173" s="156"/>
      <c r="E173" s="156"/>
      <c r="F173" s="156"/>
      <c r="G173" s="156"/>
      <c r="H173" s="156"/>
      <c r="I173" s="156"/>
      <c r="J173" s="156"/>
      <c r="K173" s="156"/>
    </row>
    <row r="174" spans="1:12" s="469" customFormat="1" ht="12.5">
      <c r="C174" s="252"/>
      <c r="D174" s="156"/>
      <c r="E174" s="156"/>
      <c r="F174" s="156"/>
      <c r="G174" s="156"/>
      <c r="H174" s="156"/>
      <c r="I174" s="156"/>
      <c r="J174" s="156"/>
      <c r="K174" s="156"/>
    </row>
    <row r="175" spans="1:12" s="469" customFormat="1" ht="26.25" customHeight="1">
      <c r="A175" s="143" t="s">
        <v>38</v>
      </c>
      <c r="B175" s="514" t="s">
        <v>273</v>
      </c>
      <c r="C175" s="514"/>
      <c r="D175" s="514"/>
      <c r="E175" s="514"/>
      <c r="F175" s="514"/>
      <c r="G175" s="514"/>
      <c r="H175" s="514"/>
      <c r="I175" s="514"/>
      <c r="J175" s="514"/>
      <c r="K175" s="514"/>
      <c r="L175" s="474"/>
    </row>
    <row r="176" spans="1:12" s="469" customFormat="1" ht="24.75" customHeight="1">
      <c r="A176" s="143" t="s">
        <v>57</v>
      </c>
      <c r="B176" s="514" t="s">
        <v>274</v>
      </c>
      <c r="C176" s="514"/>
      <c r="D176" s="514"/>
      <c r="E176" s="514"/>
      <c r="F176" s="514"/>
      <c r="G176" s="514"/>
      <c r="H176" s="514"/>
      <c r="I176" s="514"/>
      <c r="J176" s="514"/>
      <c r="K176" s="514"/>
    </row>
    <row r="177" spans="1:12" s="469" customFormat="1" ht="12.5">
      <c r="B177" s="515"/>
      <c r="C177" s="515"/>
      <c r="D177" s="515"/>
      <c r="E177" s="515"/>
      <c r="F177" s="515"/>
      <c r="G177" s="515"/>
      <c r="H177" s="515"/>
      <c r="I177" s="515"/>
      <c r="J177" s="515"/>
    </row>
    <row r="178" spans="1:12" s="469" customFormat="1" ht="12.5">
      <c r="B178" s="469" t="s">
        <v>520</v>
      </c>
    </row>
    <row r="179" spans="1:12" ht="45" customHeight="1">
      <c r="A179" s="469"/>
      <c r="B179" s="469"/>
      <c r="C179" s="469"/>
      <c r="D179" s="469"/>
      <c r="E179" s="469"/>
      <c r="F179" s="469"/>
      <c r="G179" s="469"/>
      <c r="H179" s="469"/>
      <c r="I179" s="469"/>
      <c r="J179" s="469"/>
      <c r="K179" s="469"/>
      <c r="L179" s="143" t="s">
        <v>380</v>
      </c>
    </row>
    <row r="180" spans="1:12" s="469" customFormat="1" ht="13">
      <c r="A180" s="245" t="s">
        <v>31</v>
      </c>
      <c r="B180" s="245"/>
      <c r="C180" s="245"/>
      <c r="D180" s="245"/>
      <c r="E180" s="245"/>
      <c r="F180" s="245"/>
      <c r="G180" s="245"/>
      <c r="H180" s="245"/>
      <c r="I180" s="245"/>
      <c r="J180" s="245"/>
      <c r="K180" s="245"/>
      <c r="L180" s="245"/>
    </row>
    <row r="181" spans="1:12" s="469" customFormat="1" ht="13">
      <c r="A181" s="245" t="s">
        <v>261</v>
      </c>
      <c r="B181" s="245"/>
      <c r="C181" s="245"/>
      <c r="D181" s="245"/>
      <c r="E181" s="245"/>
      <c r="F181" s="245"/>
      <c r="G181" s="245"/>
      <c r="H181" s="245"/>
      <c r="I181" s="245"/>
      <c r="J181" s="245"/>
      <c r="K181" s="245"/>
      <c r="L181" s="245"/>
    </row>
    <row r="182" spans="1:12" s="469" customFormat="1" ht="13">
      <c r="A182" s="245" t="s">
        <v>262</v>
      </c>
      <c r="B182" s="245"/>
      <c r="C182" s="245"/>
      <c r="D182" s="245"/>
      <c r="E182" s="245"/>
      <c r="F182" s="245"/>
      <c r="G182" s="245"/>
      <c r="H182" s="245"/>
      <c r="I182" s="245"/>
      <c r="J182" s="245"/>
      <c r="K182" s="245"/>
      <c r="L182" s="245"/>
    </row>
    <row r="183" spans="1:12" s="469" customFormat="1" ht="13">
      <c r="A183" s="299"/>
      <c r="B183" s="299"/>
      <c r="C183" s="299"/>
      <c r="D183" s="299"/>
      <c r="E183" s="299"/>
      <c r="F183" s="299"/>
      <c r="G183" s="299"/>
      <c r="H183" s="299"/>
      <c r="I183" s="299"/>
      <c r="J183" s="299"/>
      <c r="K183" s="299"/>
      <c r="L183" s="299"/>
    </row>
    <row r="184" spans="1:12" s="469" customFormat="1" ht="12.5"/>
    <row r="185" spans="1:12" s="469" customFormat="1" ht="12.5">
      <c r="A185" s="470"/>
      <c r="B185" s="470" t="s">
        <v>313</v>
      </c>
      <c r="C185" s="470"/>
      <c r="D185" s="470"/>
      <c r="E185" s="470"/>
      <c r="F185" s="470"/>
      <c r="G185" s="470"/>
      <c r="H185" s="470"/>
      <c r="I185" s="470"/>
      <c r="J185" s="470"/>
      <c r="K185" s="470"/>
      <c r="L185" s="470"/>
    </row>
    <row r="186" spans="1:12" s="469" customFormat="1" ht="12.5"/>
    <row r="187" spans="1:12" s="469" customFormat="1" ht="12.5">
      <c r="C187" s="252" t="s">
        <v>203</v>
      </c>
      <c r="D187" s="513" t="s">
        <v>308</v>
      </c>
      <c r="E187" s="513"/>
      <c r="F187" s="513"/>
      <c r="G187" s="513"/>
      <c r="H187" s="513"/>
      <c r="I187" s="513"/>
      <c r="J187" s="513"/>
      <c r="K187" s="252"/>
    </row>
    <row r="188" spans="1:12" s="469" customFormat="1" ht="12.5">
      <c r="C188" s="26" t="s">
        <v>8</v>
      </c>
      <c r="D188" s="77">
        <f t="shared" ref="D188:J188" si="46">D161</f>
        <v>12</v>
      </c>
      <c r="E188" s="77">
        <f t="shared" si="46"/>
        <v>24</v>
      </c>
      <c r="F188" s="77">
        <f t="shared" si="46"/>
        <v>36</v>
      </c>
      <c r="G188" s="77">
        <f t="shared" si="46"/>
        <v>48</v>
      </c>
      <c r="H188" s="77">
        <f t="shared" si="46"/>
        <v>60</v>
      </c>
      <c r="I188" s="77">
        <f t="shared" si="46"/>
        <v>72</v>
      </c>
      <c r="J188" s="77">
        <f t="shared" si="46"/>
        <v>84</v>
      </c>
      <c r="K188" s="77"/>
    </row>
    <row r="189" spans="1:12" s="469" customFormat="1" ht="4.5" customHeight="1"/>
    <row r="190" spans="1:12" s="469" customFormat="1" ht="12.5">
      <c r="C190" s="252">
        <f t="shared" ref="C190:C199" si="47">C163</f>
        <v>2011</v>
      </c>
      <c r="D190" s="365"/>
      <c r="E190" s="365"/>
      <c r="F190" s="365"/>
      <c r="G190" s="365"/>
      <c r="H190" s="365"/>
      <c r="I190" s="365"/>
      <c r="J190" s="365">
        <v>41558.626873617759</v>
      </c>
      <c r="K190" s="73"/>
    </row>
    <row r="191" spans="1:12" s="469" customFormat="1" ht="12.5">
      <c r="C191" s="252">
        <f t="shared" si="47"/>
        <v>2012</v>
      </c>
      <c r="D191" s="365"/>
      <c r="E191" s="365"/>
      <c r="F191" s="365"/>
      <c r="G191" s="365"/>
      <c r="H191" s="365"/>
      <c r="I191" s="365">
        <v>36057.335601416191</v>
      </c>
      <c r="J191" s="365">
        <v>41897.419632766418</v>
      </c>
      <c r="K191" s="73"/>
    </row>
    <row r="192" spans="1:12" s="469" customFormat="1" ht="12.5">
      <c r="C192" s="252">
        <f t="shared" si="47"/>
        <v>2013</v>
      </c>
      <c r="D192" s="365"/>
      <c r="E192" s="365"/>
      <c r="F192" s="365"/>
      <c r="G192" s="365"/>
      <c r="H192" s="365">
        <v>30805.228725255518</v>
      </c>
      <c r="I192" s="365">
        <v>36054.49901501189</v>
      </c>
      <c r="J192" s="365">
        <v>41703.268503511485</v>
      </c>
      <c r="K192" s="73"/>
    </row>
    <row r="193" spans="1:12" s="469" customFormat="1" ht="12.5">
      <c r="C193" s="252">
        <f t="shared" si="47"/>
        <v>2014</v>
      </c>
      <c r="D193" s="365"/>
      <c r="E193" s="365"/>
      <c r="F193" s="365"/>
      <c r="G193" s="365">
        <v>26143.97365347352</v>
      </c>
      <c r="H193" s="365">
        <v>32184.073450977023</v>
      </c>
      <c r="I193" s="365">
        <v>38153.674944260783</v>
      </c>
      <c r="J193" s="365">
        <v>43006.099080359098</v>
      </c>
      <c r="K193" s="73"/>
    </row>
    <row r="194" spans="1:12" s="469" customFormat="1" ht="12.5">
      <c r="C194" s="252">
        <f t="shared" si="47"/>
        <v>2015</v>
      </c>
      <c r="D194" s="365"/>
      <c r="E194" s="365"/>
      <c r="F194" s="365">
        <v>19777.683253930711</v>
      </c>
      <c r="G194" s="365">
        <v>27179.711324197218</v>
      </c>
      <c r="H194" s="365">
        <v>33528.611832039453</v>
      </c>
      <c r="I194" s="365">
        <v>37851.675291486979</v>
      </c>
      <c r="J194" s="365"/>
      <c r="K194" s="73"/>
    </row>
    <row r="195" spans="1:12" s="469" customFormat="1" ht="12.5">
      <c r="C195" s="252">
        <f t="shared" si="47"/>
        <v>2016</v>
      </c>
      <c r="D195" s="365"/>
      <c r="E195" s="365">
        <v>11567.138379158892</v>
      </c>
      <c r="F195" s="365">
        <v>20245.19369073326</v>
      </c>
      <c r="G195" s="365">
        <v>27470.398801932366</v>
      </c>
      <c r="H195" s="365">
        <v>33086.405908284192</v>
      </c>
      <c r="I195" s="365"/>
      <c r="J195" s="365"/>
      <c r="K195" s="73"/>
    </row>
    <row r="196" spans="1:12" s="469" customFormat="1" ht="12.5">
      <c r="C196" s="252">
        <f t="shared" si="47"/>
        <v>2017</v>
      </c>
      <c r="D196" s="365">
        <v>3859.6667437417086</v>
      </c>
      <c r="E196" s="365">
        <v>7719.3334874834172</v>
      </c>
      <c r="F196" s="365">
        <v>18281.961010229159</v>
      </c>
      <c r="G196" s="365">
        <v>27882.978673260441</v>
      </c>
      <c r="H196" s="365"/>
      <c r="I196" s="365"/>
      <c r="J196" s="365"/>
      <c r="K196" s="73"/>
    </row>
    <row r="197" spans="1:12" s="469" customFormat="1" ht="12.5">
      <c r="C197" s="252">
        <f t="shared" si="47"/>
        <v>2018</v>
      </c>
      <c r="D197" s="365">
        <v>4116.566321708151</v>
      </c>
      <c r="E197" s="365">
        <v>8233.132643416302</v>
      </c>
      <c r="F197" s="365">
        <v>20878.560169255092</v>
      </c>
      <c r="G197" s="365"/>
      <c r="H197" s="365"/>
      <c r="I197" s="365"/>
      <c r="J197" s="365"/>
      <c r="K197" s="73"/>
    </row>
    <row r="198" spans="1:12" s="469" customFormat="1" ht="12.5">
      <c r="C198" s="252">
        <f t="shared" si="47"/>
        <v>2019</v>
      </c>
      <c r="D198" s="365">
        <v>4216.4925121232291</v>
      </c>
      <c r="E198" s="365">
        <v>12901.385355752263</v>
      </c>
      <c r="F198" s="365"/>
      <c r="G198" s="365"/>
      <c r="H198" s="365"/>
      <c r="I198" s="365"/>
      <c r="J198" s="365"/>
      <c r="K198" s="73"/>
    </row>
    <row r="199" spans="1:12" s="469" customFormat="1" ht="12.5">
      <c r="C199" s="252">
        <f t="shared" si="47"/>
        <v>2020</v>
      </c>
      <c r="D199" s="365">
        <v>4665.0414581191326</v>
      </c>
      <c r="E199" s="365"/>
      <c r="F199" s="365"/>
      <c r="G199" s="365"/>
      <c r="H199" s="365"/>
      <c r="I199" s="365"/>
      <c r="J199" s="365"/>
      <c r="K199" s="73"/>
    </row>
    <row r="200" spans="1:12" s="469" customFormat="1" ht="12.5">
      <c r="D200" s="73"/>
      <c r="E200" s="73"/>
      <c r="F200" s="73"/>
      <c r="G200" s="73"/>
      <c r="H200" s="73"/>
      <c r="I200" s="73"/>
      <c r="J200" s="73"/>
      <c r="K200" s="73"/>
    </row>
    <row r="201" spans="1:12" s="469" customFormat="1" ht="12.5">
      <c r="A201" s="470"/>
      <c r="B201" s="470" t="s">
        <v>275</v>
      </c>
      <c r="C201" s="470"/>
      <c r="D201" s="470"/>
      <c r="E201" s="470"/>
      <c r="F201" s="470"/>
      <c r="G201" s="470"/>
      <c r="H201" s="470"/>
      <c r="I201" s="470"/>
      <c r="J201" s="470"/>
      <c r="K201" s="470"/>
      <c r="L201" s="470"/>
    </row>
    <row r="202" spans="1:12" s="469" customFormat="1" ht="12.5">
      <c r="B202" s="469" t="s">
        <v>314</v>
      </c>
    </row>
    <row r="203" spans="1:12" s="469" customFormat="1" ht="12.5"/>
    <row r="204" spans="1:12" s="469" customFormat="1" ht="12.5">
      <c r="C204" s="252" t="s">
        <v>203</v>
      </c>
      <c r="D204" s="513" t="s">
        <v>308</v>
      </c>
      <c r="E204" s="513"/>
      <c r="F204" s="513"/>
      <c r="G204" s="513"/>
      <c r="H204" s="513"/>
      <c r="I204" s="513"/>
      <c r="J204" s="513"/>
      <c r="K204" s="252"/>
    </row>
    <row r="205" spans="1:12" s="469" customFormat="1" ht="12.5">
      <c r="C205" s="26" t="s">
        <v>8</v>
      </c>
      <c r="D205" s="77">
        <f t="shared" ref="D205:J205" si="48">+D188</f>
        <v>12</v>
      </c>
      <c r="E205" s="77">
        <f t="shared" si="48"/>
        <v>24</v>
      </c>
      <c r="F205" s="77">
        <f t="shared" si="48"/>
        <v>36</v>
      </c>
      <c r="G205" s="77">
        <f t="shared" si="48"/>
        <v>48</v>
      </c>
      <c r="H205" s="77">
        <f t="shared" si="48"/>
        <v>60</v>
      </c>
      <c r="I205" s="77">
        <f t="shared" si="48"/>
        <v>72</v>
      </c>
      <c r="J205" s="77">
        <f t="shared" si="48"/>
        <v>84</v>
      </c>
      <c r="K205" s="77"/>
    </row>
    <row r="206" spans="1:12" s="469" customFormat="1" ht="4.5" customHeight="1"/>
    <row r="207" spans="1:12" s="469" customFormat="1" ht="12.5">
      <c r="C207" s="252">
        <f t="shared" ref="C207:C215" si="49">+C190</f>
        <v>2011</v>
      </c>
      <c r="D207" s="365"/>
      <c r="E207" s="365"/>
      <c r="F207" s="365"/>
      <c r="G207" s="365"/>
      <c r="H207" s="365"/>
      <c r="I207" s="365"/>
      <c r="J207" s="365">
        <v>-132114.87483123085</v>
      </c>
      <c r="K207" s="73"/>
    </row>
    <row r="208" spans="1:12" s="469" customFormat="1" ht="12.5">
      <c r="C208" s="252">
        <f t="shared" si="49"/>
        <v>2012</v>
      </c>
      <c r="D208" s="365"/>
      <c r="E208" s="365"/>
      <c r="F208" s="365"/>
      <c r="G208" s="365"/>
      <c r="H208" s="365"/>
      <c r="I208" s="365">
        <v>-141092.35420834157</v>
      </c>
      <c r="J208" s="365">
        <v>-78809.046329233635</v>
      </c>
      <c r="K208" s="73"/>
    </row>
    <row r="209" spans="1:11" s="469" customFormat="1" ht="12.5">
      <c r="C209" s="252">
        <f t="shared" si="49"/>
        <v>2013</v>
      </c>
      <c r="D209" s="365"/>
      <c r="E209" s="365"/>
      <c r="F209" s="365"/>
      <c r="G209" s="365"/>
      <c r="H209" s="365">
        <v>-146263.22598751317</v>
      </c>
      <c r="I209" s="365">
        <v>-79464.115829086193</v>
      </c>
      <c r="J209" s="365">
        <v>-18307.73487304154</v>
      </c>
      <c r="K209" s="73"/>
    </row>
    <row r="210" spans="1:11" s="469" customFormat="1" ht="12.5">
      <c r="C210" s="252">
        <f t="shared" si="49"/>
        <v>2014</v>
      </c>
      <c r="D210" s="365"/>
      <c r="E210" s="365"/>
      <c r="F210" s="365"/>
      <c r="G210" s="365">
        <v>-163007.67572940741</v>
      </c>
      <c r="H210" s="365">
        <v>-89503.908267167106</v>
      </c>
      <c r="I210" s="365">
        <v>-32049.086953179059</v>
      </c>
      <c r="J210" s="365"/>
      <c r="K210" s="73"/>
    </row>
    <row r="211" spans="1:11" s="469" customFormat="1" ht="12.5">
      <c r="C211" s="252">
        <f t="shared" si="49"/>
        <v>2015</v>
      </c>
      <c r="D211" s="365"/>
      <c r="E211" s="365"/>
      <c r="F211" s="365">
        <v>-85558.257756504259</v>
      </c>
      <c r="G211" s="365">
        <v>-77108.841026747512</v>
      </c>
      <c r="H211" s="365">
        <v>-19681.295145407159</v>
      </c>
      <c r="I211" s="365"/>
      <c r="J211" s="365"/>
      <c r="K211" s="73"/>
    </row>
    <row r="212" spans="1:11" s="469" customFormat="1" ht="12.5">
      <c r="C212" s="252">
        <f t="shared" si="49"/>
        <v>2016</v>
      </c>
      <c r="D212" s="365"/>
      <c r="E212" s="365">
        <v>-15268.622660489738</v>
      </c>
      <c r="F212" s="365">
        <v>-11458.779628955026</v>
      </c>
      <c r="G212" s="365">
        <v>-2582.2174873816421</v>
      </c>
      <c r="H212" s="365"/>
      <c r="I212" s="365"/>
      <c r="J212" s="365"/>
      <c r="K212" s="73"/>
    </row>
    <row r="213" spans="1:11" s="469" customFormat="1" ht="12.5">
      <c r="C213" s="252">
        <f t="shared" si="49"/>
        <v>2017</v>
      </c>
      <c r="D213" s="365">
        <v>2061.0620411580726</v>
      </c>
      <c r="E213" s="365">
        <v>23551.686470311906</v>
      </c>
      <c r="F213" s="365">
        <v>46820.102147196871</v>
      </c>
      <c r="G213" s="365"/>
      <c r="H213" s="365"/>
      <c r="I213" s="365"/>
      <c r="J213" s="365"/>
      <c r="K213" s="73"/>
    </row>
    <row r="214" spans="1:11" s="469" customFormat="1" ht="12.5">
      <c r="C214" s="252">
        <f t="shared" si="49"/>
        <v>2018</v>
      </c>
      <c r="D214" s="365">
        <v>5314.4871213252227</v>
      </c>
      <c r="E214" s="365">
        <v>27177.570855917213</v>
      </c>
      <c r="F214" s="365"/>
      <c r="G214" s="365"/>
      <c r="H214" s="365"/>
      <c r="I214" s="365"/>
      <c r="J214" s="365"/>
      <c r="K214" s="73"/>
    </row>
    <row r="215" spans="1:11" s="469" customFormat="1" ht="12.5">
      <c r="C215" s="252">
        <f t="shared" si="49"/>
        <v>2019</v>
      </c>
      <c r="D215" s="365">
        <v>6101.264665042313</v>
      </c>
      <c r="E215" s="377"/>
      <c r="F215" s="365"/>
      <c r="G215" s="365"/>
      <c r="H215" s="365"/>
      <c r="I215" s="365"/>
      <c r="J215" s="365"/>
      <c r="K215" s="73"/>
    </row>
    <row r="216" spans="1:11" s="469" customFormat="1" ht="12.5">
      <c r="C216" s="252"/>
      <c r="F216" s="144"/>
      <c r="I216" s="145"/>
    </row>
    <row r="217" spans="1:11" s="469" customFormat="1" ht="12.5">
      <c r="A217" s="470"/>
      <c r="B217" s="470" t="s">
        <v>315</v>
      </c>
      <c r="C217" s="470"/>
      <c r="D217" s="470"/>
      <c r="E217" s="470"/>
      <c r="F217" s="470"/>
      <c r="G217" s="470"/>
      <c r="H217" s="470"/>
      <c r="I217" s="470"/>
      <c r="J217" s="470"/>
      <c r="K217" s="470"/>
    </row>
    <row r="218" spans="1:11" s="469" customFormat="1" ht="12.5"/>
    <row r="219" spans="1:11" s="469" customFormat="1" ht="12.5">
      <c r="C219" s="252" t="s">
        <v>203</v>
      </c>
      <c r="D219" s="513" t="s">
        <v>308</v>
      </c>
      <c r="E219" s="513"/>
      <c r="F219" s="513"/>
      <c r="G219" s="513"/>
      <c r="H219" s="513"/>
      <c r="I219" s="513"/>
      <c r="J219" s="513"/>
      <c r="K219" s="252"/>
    </row>
    <row r="220" spans="1:11" s="469" customFormat="1" ht="12.5">
      <c r="C220" s="26" t="s">
        <v>8</v>
      </c>
      <c r="D220" s="77">
        <f t="shared" ref="D220:J220" si="50">+D188</f>
        <v>12</v>
      </c>
      <c r="E220" s="77">
        <f t="shared" si="50"/>
        <v>24</v>
      </c>
      <c r="F220" s="77">
        <f t="shared" si="50"/>
        <v>36</v>
      </c>
      <c r="G220" s="77">
        <f t="shared" si="50"/>
        <v>48</v>
      </c>
      <c r="H220" s="77">
        <f t="shared" si="50"/>
        <v>60</v>
      </c>
      <c r="I220" s="77">
        <f t="shared" si="50"/>
        <v>72</v>
      </c>
      <c r="J220" s="77">
        <f t="shared" si="50"/>
        <v>84</v>
      </c>
      <c r="K220" s="77"/>
    </row>
    <row r="221" spans="1:11" s="469" customFormat="1" ht="4.5" customHeight="1"/>
    <row r="222" spans="1:11" s="469" customFormat="1" ht="12.5">
      <c r="C222" s="252">
        <f t="shared" ref="C222:C231" si="51">+C190</f>
        <v>2011</v>
      </c>
      <c r="D222" s="73"/>
      <c r="E222" s="73"/>
      <c r="F222" s="73"/>
      <c r="G222" s="73"/>
      <c r="H222" s="73"/>
      <c r="I222" s="73"/>
      <c r="J222" s="73">
        <f>J207+J163</f>
        <v>323909.65230230213</v>
      </c>
      <c r="K222" s="73"/>
    </row>
    <row r="223" spans="1:11" s="469" customFormat="1" ht="12.5">
      <c r="C223" s="252">
        <f t="shared" si="51"/>
        <v>2012</v>
      </c>
      <c r="D223" s="73"/>
      <c r="E223" s="73"/>
      <c r="F223" s="73"/>
      <c r="G223" s="73"/>
      <c r="H223" s="73"/>
      <c r="I223" s="73">
        <f>I208+I164</f>
        <v>395082.19110751129</v>
      </c>
      <c r="J223" s="73">
        <f t="shared" ref="J223" si="52">J208+J164</f>
        <v>347934.11223729519</v>
      </c>
      <c r="K223" s="73"/>
    </row>
    <row r="224" spans="1:11" s="469" customFormat="1" ht="12.5">
      <c r="C224" s="252">
        <f t="shared" si="51"/>
        <v>2013</v>
      </c>
      <c r="D224" s="73"/>
      <c r="E224" s="73"/>
      <c r="F224" s="73"/>
      <c r="G224" s="73"/>
      <c r="H224" s="73">
        <f>H209+H165</f>
        <v>490841.03418172919</v>
      </c>
      <c r="I224" s="73">
        <f t="shared" ref="I224:J224" si="53">I209+I165</f>
        <v>417701.58821264829</v>
      </c>
      <c r="J224" s="73">
        <f t="shared" si="53"/>
        <v>367656.01512695849</v>
      </c>
      <c r="K224" s="73"/>
    </row>
    <row r="225" spans="1:12" s="469" customFormat="1" ht="12.5">
      <c r="C225" s="252">
        <f t="shared" si="51"/>
        <v>2014</v>
      </c>
      <c r="D225" s="73"/>
      <c r="E225" s="73"/>
      <c r="F225" s="73"/>
      <c r="G225" s="73">
        <f>G210+G166</f>
        <v>636750.87998556136</v>
      </c>
      <c r="H225" s="73">
        <f t="shared" ref="H225:J225" si="54">H210+H166</f>
        <v>535023.59052938828</v>
      </c>
      <c r="I225" s="73">
        <f t="shared" si="54"/>
        <v>464215.76304682094</v>
      </c>
      <c r="J225" s="73">
        <f t="shared" si="54"/>
        <v>392817.70899999997</v>
      </c>
      <c r="K225" s="73"/>
    </row>
    <row r="226" spans="1:12" s="469" customFormat="1" ht="12.5">
      <c r="C226" s="252">
        <f t="shared" si="51"/>
        <v>2015</v>
      </c>
      <c r="D226" s="73"/>
      <c r="E226" s="73"/>
      <c r="F226" s="73">
        <f>F211+F167</f>
        <v>815370.28073321516</v>
      </c>
      <c r="G226" s="73">
        <f t="shared" ref="G226:I226" si="55">G211+G167</f>
        <v>684684.39402787376</v>
      </c>
      <c r="H226" s="73">
        <f t="shared" si="55"/>
        <v>571998.11785459309</v>
      </c>
      <c r="I226" s="73">
        <f t="shared" si="55"/>
        <v>473978.67800000001</v>
      </c>
      <c r="J226" s="73"/>
      <c r="K226" s="73"/>
    </row>
    <row r="227" spans="1:12" s="469" customFormat="1" ht="12.5">
      <c r="C227" s="252">
        <f t="shared" si="51"/>
        <v>2016</v>
      </c>
      <c r="D227" s="73"/>
      <c r="E227" s="73">
        <f>E212+E168</f>
        <v>753761.00533951004</v>
      </c>
      <c r="F227" s="73">
        <f t="shared" ref="F227:H227" si="56">F212+F168</f>
        <v>851067.45237104467</v>
      </c>
      <c r="G227" s="73">
        <f t="shared" si="56"/>
        <v>708214.35151261836</v>
      </c>
      <c r="H227" s="73">
        <f t="shared" si="56"/>
        <v>577920.25199999998</v>
      </c>
      <c r="I227" s="73"/>
      <c r="J227" s="73"/>
      <c r="K227" s="73"/>
    </row>
    <row r="228" spans="1:12" s="469" customFormat="1" ht="12.5">
      <c r="C228" s="252">
        <f t="shared" si="51"/>
        <v>2017</v>
      </c>
      <c r="D228" s="73">
        <f>D213+D169</f>
        <v>319213.73804115801</v>
      </c>
      <c r="E228" s="73">
        <f t="shared" ref="D228:E231" si="57">E213+E169</f>
        <v>792064.38747031172</v>
      </c>
      <c r="F228" s="73">
        <f t="shared" ref="F228:G228" si="58">F213+F169</f>
        <v>896903.80714719661</v>
      </c>
      <c r="G228" s="73">
        <f t="shared" si="58"/>
        <v>721695.13699999999</v>
      </c>
      <c r="H228" s="73"/>
      <c r="I228" s="73"/>
      <c r="J228" s="73"/>
      <c r="K228" s="73"/>
    </row>
    <row r="229" spans="1:12" s="469" customFormat="1" ht="12.5">
      <c r="C229" s="252">
        <f t="shared" si="51"/>
        <v>2018</v>
      </c>
      <c r="D229" s="73">
        <f t="shared" si="57"/>
        <v>345021.77312132524</v>
      </c>
      <c r="E229" s="73">
        <f t="shared" si="57"/>
        <v>835708.43285591714</v>
      </c>
      <c r="F229" s="73">
        <f t="shared" ref="F229" si="59">F214+F170</f>
        <v>898028.63</v>
      </c>
      <c r="G229" s="73"/>
      <c r="H229" s="73"/>
      <c r="I229" s="73"/>
      <c r="J229" s="73"/>
      <c r="K229" s="73"/>
    </row>
    <row r="230" spans="1:12" s="469" customFormat="1" ht="12.5">
      <c r="C230" s="252">
        <f t="shared" si="51"/>
        <v>2019</v>
      </c>
      <c r="D230" s="73">
        <f t="shared" si="57"/>
        <v>360860.07866504235</v>
      </c>
      <c r="E230" s="73">
        <f t="shared" si="57"/>
        <v>884686.69799999997</v>
      </c>
      <c r="F230" s="73"/>
      <c r="G230" s="73"/>
      <c r="H230" s="73"/>
      <c r="I230" s="73"/>
      <c r="J230" s="73"/>
      <c r="K230" s="73"/>
    </row>
    <row r="231" spans="1:12" s="469" customFormat="1" ht="12.5">
      <c r="C231" s="252">
        <f t="shared" si="51"/>
        <v>2020</v>
      </c>
      <c r="D231" s="73">
        <f t="shared" si="57"/>
        <v>349369.61984</v>
      </c>
      <c r="E231" s="73"/>
      <c r="F231" s="73"/>
      <c r="G231" s="73"/>
      <c r="H231" s="73"/>
      <c r="I231" s="73"/>
      <c r="J231" s="73"/>
      <c r="K231" s="73"/>
    </row>
    <row r="232" spans="1:12" s="469" customFormat="1" ht="12.5">
      <c r="C232" s="252"/>
      <c r="D232" s="73"/>
      <c r="F232" s="73"/>
      <c r="G232" s="73"/>
      <c r="H232" s="73"/>
      <c r="I232" s="73"/>
      <c r="J232" s="144"/>
      <c r="K232" s="144"/>
    </row>
    <row r="233" spans="1:12" s="469" customFormat="1" ht="67.150000000000006" customHeight="1">
      <c r="A233" s="143" t="s">
        <v>41</v>
      </c>
      <c r="B233" s="514" t="s">
        <v>276</v>
      </c>
      <c r="C233" s="514"/>
      <c r="D233" s="514"/>
      <c r="E233" s="514"/>
      <c r="F233" s="514"/>
      <c r="G233" s="514"/>
      <c r="H233" s="514"/>
      <c r="I233" s="514"/>
      <c r="J233" s="514"/>
      <c r="K233" s="514"/>
      <c r="L233" s="473"/>
    </row>
    <row r="234" spans="1:12" s="469" customFormat="1" ht="39" customHeight="1">
      <c r="A234" s="143" t="s">
        <v>76</v>
      </c>
      <c r="B234" s="514" t="s">
        <v>277</v>
      </c>
      <c r="C234" s="514"/>
      <c r="D234" s="514"/>
      <c r="E234" s="514"/>
      <c r="F234" s="514"/>
      <c r="G234" s="514"/>
      <c r="H234" s="514"/>
      <c r="I234" s="514"/>
      <c r="J234" s="514"/>
      <c r="K234" s="514"/>
      <c r="L234" s="473"/>
    </row>
    <row r="235" spans="1:12" s="469" customFormat="1" ht="27" customHeight="1">
      <c r="A235" s="143" t="s">
        <v>170</v>
      </c>
      <c r="B235" s="514" t="s">
        <v>278</v>
      </c>
      <c r="C235" s="514"/>
      <c r="D235" s="514"/>
      <c r="E235" s="514"/>
      <c r="F235" s="514"/>
      <c r="G235" s="514"/>
      <c r="H235" s="514"/>
      <c r="I235" s="514"/>
      <c r="J235" s="514"/>
      <c r="K235" s="514"/>
      <c r="L235" s="473"/>
    </row>
    <row r="236" spans="1:12" s="469" customFormat="1" ht="12.5"/>
    <row r="237" spans="1:12" s="469" customFormat="1" ht="12.5">
      <c r="B237" s="469" t="s">
        <v>520</v>
      </c>
    </row>
    <row r="238" spans="1:12" ht="45" customHeight="1">
      <c r="A238" s="469"/>
      <c r="B238" s="469"/>
      <c r="C238" s="252"/>
      <c r="D238" s="144"/>
      <c r="E238" s="144"/>
      <c r="F238" s="144"/>
      <c r="G238" s="144"/>
      <c r="H238" s="144"/>
      <c r="I238" s="469"/>
      <c r="J238" s="469"/>
      <c r="K238" s="469"/>
      <c r="L238" s="143" t="s">
        <v>381</v>
      </c>
    </row>
    <row r="239" spans="1:12" s="469" customFormat="1" ht="13">
      <c r="A239" s="245" t="s">
        <v>31</v>
      </c>
      <c r="B239" s="245"/>
      <c r="C239" s="245"/>
      <c r="D239" s="245"/>
      <c r="E239" s="245"/>
      <c r="F239" s="245"/>
      <c r="G239" s="245"/>
      <c r="H239" s="245"/>
      <c r="I239" s="245"/>
      <c r="J239" s="245"/>
      <c r="K239" s="245"/>
      <c r="L239" s="245"/>
    </row>
    <row r="240" spans="1:12" s="469" customFormat="1" ht="13">
      <c r="A240" s="245" t="s">
        <v>261</v>
      </c>
      <c r="B240" s="245"/>
      <c r="C240" s="245"/>
      <c r="D240" s="245"/>
      <c r="E240" s="245"/>
      <c r="F240" s="245"/>
      <c r="G240" s="245"/>
      <c r="H240" s="245"/>
      <c r="I240" s="245"/>
      <c r="J240" s="245"/>
      <c r="K240" s="245"/>
      <c r="L240" s="245"/>
    </row>
    <row r="241" spans="1:12" s="469" customFormat="1" ht="13">
      <c r="A241" s="245" t="s">
        <v>262</v>
      </c>
      <c r="B241" s="245"/>
      <c r="C241" s="245"/>
      <c r="D241" s="245"/>
      <c r="E241" s="245"/>
      <c r="F241" s="245"/>
      <c r="G241" s="245"/>
      <c r="H241" s="245"/>
      <c r="I241" s="245"/>
      <c r="J241" s="245"/>
      <c r="K241" s="245"/>
      <c r="L241" s="245"/>
    </row>
    <row r="242" spans="1:12" s="469" customFormat="1" ht="13">
      <c r="A242" s="299"/>
      <c r="B242" s="299"/>
      <c r="C242" s="299"/>
      <c r="D242" s="299"/>
      <c r="E242" s="299"/>
      <c r="F242" s="299"/>
      <c r="G242" s="299"/>
      <c r="H242" s="299"/>
      <c r="I242" s="299"/>
    </row>
    <row r="243" spans="1:12" s="469" customFormat="1" ht="12.5"/>
    <row r="244" spans="1:12" s="469" customFormat="1" ht="12.5">
      <c r="A244" s="470"/>
      <c r="B244" s="470" t="s">
        <v>316</v>
      </c>
      <c r="C244" s="470"/>
      <c r="D244" s="470"/>
      <c r="E244" s="470"/>
      <c r="F244" s="470"/>
      <c r="G244" s="470"/>
      <c r="H244" s="470"/>
      <c r="I244" s="470"/>
      <c r="J244" s="470"/>
      <c r="K244" s="470"/>
    </row>
    <row r="245" spans="1:12" s="469" customFormat="1" ht="12.5"/>
    <row r="246" spans="1:12" s="469" customFormat="1" ht="12.5">
      <c r="C246" s="252" t="s">
        <v>203</v>
      </c>
      <c r="D246" s="513" t="s">
        <v>308</v>
      </c>
      <c r="E246" s="513"/>
      <c r="F246" s="513"/>
      <c r="G246" s="513"/>
      <c r="H246" s="513"/>
      <c r="I246" s="513"/>
      <c r="J246" s="513"/>
      <c r="K246" s="252"/>
    </row>
    <row r="247" spans="1:12" s="469" customFormat="1" ht="12.5">
      <c r="C247" s="26" t="s">
        <v>8</v>
      </c>
      <c r="D247" s="77">
        <f t="shared" ref="D247:J247" si="60">D220</f>
        <v>12</v>
      </c>
      <c r="E247" s="77">
        <f t="shared" si="60"/>
        <v>24</v>
      </c>
      <c r="F247" s="77">
        <f t="shared" si="60"/>
        <v>36</v>
      </c>
      <c r="G247" s="77">
        <f t="shared" si="60"/>
        <v>48</v>
      </c>
      <c r="H247" s="77">
        <f t="shared" si="60"/>
        <v>60</v>
      </c>
      <c r="I247" s="77">
        <f t="shared" si="60"/>
        <v>72</v>
      </c>
      <c r="J247" s="77">
        <f t="shared" si="60"/>
        <v>84</v>
      </c>
      <c r="K247" s="77"/>
    </row>
    <row r="248" spans="1:12" s="469" customFormat="1" ht="4.5" customHeight="1"/>
    <row r="249" spans="1:12" s="469" customFormat="1" ht="12.5">
      <c r="C249" s="252">
        <f t="shared" ref="C249:C258" si="61">C222</f>
        <v>2011</v>
      </c>
      <c r="D249" s="73"/>
      <c r="E249" s="73"/>
      <c r="F249" s="73"/>
      <c r="G249" s="73"/>
      <c r="H249" s="73"/>
      <c r="I249" s="73"/>
      <c r="J249" s="73">
        <f t="shared" ref="J249" si="62">J222+J147</f>
        <v>2534344.5273604291</v>
      </c>
      <c r="K249" s="73"/>
    </row>
    <row r="250" spans="1:12" s="469" customFormat="1" ht="12.5">
      <c r="C250" s="252">
        <f t="shared" si="61"/>
        <v>2012</v>
      </c>
      <c r="D250" s="73"/>
      <c r="E250" s="73"/>
      <c r="F250" s="73"/>
      <c r="G250" s="73"/>
      <c r="H250" s="73"/>
      <c r="I250" s="73">
        <f t="shared" ref="I250:J250" si="63">I223+I148</f>
        <v>2513160.7449952718</v>
      </c>
      <c r="J250" s="73">
        <f t="shared" si="63"/>
        <v>2620544.6934741717</v>
      </c>
      <c r="K250" s="73"/>
    </row>
    <row r="251" spans="1:12" s="469" customFormat="1" ht="12.5">
      <c r="C251" s="252">
        <f t="shared" si="61"/>
        <v>2013</v>
      </c>
      <c r="D251" s="73"/>
      <c r="E251" s="73"/>
      <c r="F251" s="73"/>
      <c r="G251" s="73"/>
      <c r="H251" s="73">
        <f t="shared" ref="H251:J251" si="64">H224+H149</f>
        <v>2473308.9460384059</v>
      </c>
      <c r="I251" s="73">
        <f t="shared" si="64"/>
        <v>2612368.8842591252</v>
      </c>
      <c r="J251" s="73">
        <f t="shared" si="64"/>
        <v>2709465.1119264201</v>
      </c>
      <c r="K251" s="73"/>
    </row>
    <row r="252" spans="1:12" s="469" customFormat="1" ht="12.5">
      <c r="C252" s="252">
        <f t="shared" si="61"/>
        <v>2014</v>
      </c>
      <c r="D252" s="73"/>
      <c r="E252" s="73"/>
      <c r="F252" s="73"/>
      <c r="G252" s="73">
        <f t="shared" ref="G252:I252" si="65">G225+G150</f>
        <v>2383506.703923095</v>
      </c>
      <c r="H252" s="73">
        <f t="shared" si="65"/>
        <v>2642803.8498787968</v>
      </c>
      <c r="I252" s="73">
        <f t="shared" si="65"/>
        <v>2804359.3429041118</v>
      </c>
      <c r="J252" s="73">
        <f>J225+J150</f>
        <v>2900411.6009999998</v>
      </c>
      <c r="K252" s="73"/>
    </row>
    <row r="253" spans="1:12" s="469" customFormat="1" ht="12.5">
      <c r="C253" s="252">
        <f t="shared" si="61"/>
        <v>2015</v>
      </c>
      <c r="D253" s="73"/>
      <c r="E253" s="73"/>
      <c r="F253" s="73">
        <f t="shared" ref="F253:H253" si="66">F226+F151</f>
        <v>2007343.8804358016</v>
      </c>
      <c r="G253" s="73">
        <f t="shared" si="66"/>
        <v>2482484.1894353079</v>
      </c>
      <c r="H253" s="73">
        <f t="shared" si="66"/>
        <v>2747263.2559166253</v>
      </c>
      <c r="I253" s="73">
        <f>I226+I151</f>
        <v>2897638.338</v>
      </c>
      <c r="J253" s="73"/>
      <c r="K253" s="73"/>
    </row>
    <row r="254" spans="1:12" s="469" customFormat="1" ht="12.5">
      <c r="C254" s="252">
        <f t="shared" si="61"/>
        <v>2016</v>
      </c>
      <c r="D254" s="73"/>
      <c r="E254" s="73">
        <f t="shared" ref="D254:E257" si="67">E227+E152</f>
        <v>1274242.7659903497</v>
      </c>
      <c r="F254" s="73">
        <f t="shared" ref="F254:G254" si="68">F227+F152</f>
        <v>2016703.8315201881</v>
      </c>
      <c r="G254" s="73">
        <f t="shared" si="68"/>
        <v>2476330.7326424113</v>
      </c>
      <c r="H254" s="73">
        <f>H227+H152</f>
        <v>2729148.2309999997</v>
      </c>
      <c r="I254" s="73"/>
      <c r="J254" s="73"/>
      <c r="K254" s="73"/>
    </row>
    <row r="255" spans="1:12" s="469" customFormat="1" ht="12.5">
      <c r="C255" s="252">
        <f t="shared" si="61"/>
        <v>2017</v>
      </c>
      <c r="D255" s="73">
        <f t="shared" si="67"/>
        <v>409728.51174244017</v>
      </c>
      <c r="E255" s="73">
        <f t="shared" si="67"/>
        <v>1277611.9230933529</v>
      </c>
      <c r="F255" s="73">
        <f t="shared" ref="F255" si="69">F228+F153</f>
        <v>2012018.8734999797</v>
      </c>
      <c r="G255" s="73">
        <f>G228+G153</f>
        <v>2479705.1069999998</v>
      </c>
      <c r="H255" s="73"/>
      <c r="I255" s="73"/>
      <c r="J255" s="73"/>
      <c r="K255" s="73"/>
    </row>
    <row r="256" spans="1:12" s="469" customFormat="1" ht="12.5">
      <c r="C256" s="252">
        <f t="shared" si="61"/>
        <v>2018</v>
      </c>
      <c r="D256" s="73">
        <f t="shared" si="67"/>
        <v>445990.7455233229</v>
      </c>
      <c r="E256" s="73">
        <f t="shared" si="67"/>
        <v>1358883.0047506699</v>
      </c>
      <c r="F256" s="73">
        <f>F229+F154</f>
        <v>2121150.355</v>
      </c>
      <c r="G256" s="73"/>
      <c r="H256" s="73"/>
      <c r="I256" s="73"/>
      <c r="J256" s="73"/>
      <c r="K256" s="73"/>
      <c r="L256" s="271"/>
    </row>
    <row r="257" spans="1:12" s="469" customFormat="1" ht="12.5">
      <c r="C257" s="252">
        <f t="shared" si="61"/>
        <v>2019</v>
      </c>
      <c r="D257" s="73">
        <f t="shared" si="67"/>
        <v>473321.43068334414</v>
      </c>
      <c r="E257" s="73">
        <f>E230+E155</f>
        <v>1454666.6779999998</v>
      </c>
      <c r="F257" s="73"/>
      <c r="G257" s="73"/>
      <c r="H257" s="73"/>
      <c r="I257" s="73"/>
      <c r="J257" s="73"/>
      <c r="K257" s="73"/>
      <c r="L257" s="271"/>
    </row>
    <row r="258" spans="1:12" s="469" customFormat="1" ht="12.5">
      <c r="C258" s="252">
        <f t="shared" si="61"/>
        <v>2020</v>
      </c>
      <c r="D258" s="73">
        <f>D231+D156</f>
        <v>454879.53340000001</v>
      </c>
      <c r="E258" s="73"/>
      <c r="F258" s="73"/>
      <c r="G258" s="73"/>
      <c r="H258" s="73"/>
      <c r="I258" s="73"/>
      <c r="J258" s="73"/>
      <c r="K258" s="73"/>
      <c r="L258" s="271"/>
    </row>
    <row r="259" spans="1:12" s="469" customFormat="1" ht="12.5">
      <c r="D259" s="73"/>
      <c r="F259" s="73"/>
      <c r="G259" s="73"/>
    </row>
    <row r="260" spans="1:12" s="469" customFormat="1" ht="12.5">
      <c r="A260" s="470"/>
      <c r="B260" s="470" t="s">
        <v>279</v>
      </c>
      <c r="C260" s="470"/>
      <c r="D260" s="470"/>
      <c r="E260" s="470"/>
      <c r="F260" s="470"/>
      <c r="G260" s="470"/>
      <c r="H260" s="470"/>
      <c r="I260" s="470"/>
      <c r="J260" s="470"/>
      <c r="K260" s="470"/>
    </row>
    <row r="261" spans="1:12" s="469" customFormat="1" ht="12.5"/>
    <row r="262" spans="1:12" s="469" customFormat="1" ht="12.5">
      <c r="C262" s="252" t="s">
        <v>203</v>
      </c>
      <c r="D262" s="513" t="s">
        <v>308</v>
      </c>
      <c r="E262" s="513"/>
      <c r="F262" s="513"/>
      <c r="G262" s="513"/>
      <c r="H262" s="513"/>
      <c r="I262" s="513"/>
    </row>
    <row r="263" spans="1:12" s="469" customFormat="1" ht="12.5">
      <c r="C263" s="26" t="s">
        <v>8</v>
      </c>
      <c r="D263" s="77" t="str">
        <f t="shared" ref="D263:I263" si="70">+D247&amp;"-"&amp;E247</f>
        <v>12-24</v>
      </c>
      <c r="E263" s="77" t="str">
        <f t="shared" si="70"/>
        <v>24-36</v>
      </c>
      <c r="F263" s="77" t="str">
        <f t="shared" si="70"/>
        <v>36-48</v>
      </c>
      <c r="G263" s="77" t="str">
        <f t="shared" si="70"/>
        <v>48-60</v>
      </c>
      <c r="H263" s="77" t="str">
        <f t="shared" si="70"/>
        <v>60-72</v>
      </c>
      <c r="I263" s="77" t="str">
        <f t="shared" si="70"/>
        <v>72-84</v>
      </c>
    </row>
    <row r="264" spans="1:12" s="469" customFormat="1" ht="4.5" customHeight="1"/>
    <row r="265" spans="1:12" s="469" customFormat="1" ht="12.5">
      <c r="C265" s="252">
        <f t="shared" ref="C265:C273" si="71">+C249</f>
        <v>2011</v>
      </c>
      <c r="D265" s="144"/>
      <c r="E265" s="144"/>
      <c r="F265" s="144"/>
      <c r="G265" s="144"/>
      <c r="H265" s="144"/>
      <c r="I265" s="144"/>
    </row>
    <row r="266" spans="1:12" s="469" customFormat="1" ht="12.5">
      <c r="C266" s="252">
        <f t="shared" si="71"/>
        <v>2012</v>
      </c>
      <c r="D266" s="144"/>
      <c r="E266" s="144"/>
      <c r="F266" s="144"/>
      <c r="G266" s="144"/>
      <c r="H266" s="144"/>
      <c r="I266" s="144">
        <f>J250/I250</f>
        <v>1.042728643081325</v>
      </c>
    </row>
    <row r="267" spans="1:12" s="469" customFormat="1" ht="12.5">
      <c r="C267" s="252">
        <f t="shared" si="71"/>
        <v>2013</v>
      </c>
      <c r="D267" s="144"/>
      <c r="E267" s="144"/>
      <c r="F267" s="144"/>
      <c r="G267" s="144"/>
      <c r="H267" s="144">
        <f>I251/H251</f>
        <v>1.0562242490746887</v>
      </c>
      <c r="I267" s="144">
        <f t="shared" ref="I267" si="72">J251/I251</f>
        <v>1.0371678855357487</v>
      </c>
    </row>
    <row r="268" spans="1:12" s="469" customFormat="1" ht="12.5">
      <c r="C268" s="252">
        <f t="shared" si="71"/>
        <v>2014</v>
      </c>
      <c r="D268" s="144"/>
      <c r="E268" s="144"/>
      <c r="F268" s="144"/>
      <c r="G268" s="144">
        <f>H252/G252</f>
        <v>1.1087880917342987</v>
      </c>
      <c r="H268" s="144">
        <f t="shared" ref="H268:I268" si="73">I252/H252</f>
        <v>1.0611303381568498</v>
      </c>
      <c r="I268" s="144">
        <f t="shared" si="73"/>
        <v>1.0342510521481241</v>
      </c>
    </row>
    <row r="269" spans="1:12" s="469" customFormat="1" ht="12.5">
      <c r="C269" s="252">
        <f t="shared" si="71"/>
        <v>2015</v>
      </c>
      <c r="D269" s="144"/>
      <c r="E269" s="144"/>
      <c r="F269" s="144">
        <f>G253/F253</f>
        <v>1.2367010025688032</v>
      </c>
      <c r="G269" s="144">
        <f t="shared" ref="G269:H269" si="74">H253/G253</f>
        <v>1.1066589135222435</v>
      </c>
      <c r="H269" s="144">
        <f t="shared" si="74"/>
        <v>1.0547363205035121</v>
      </c>
      <c r="I269" s="144"/>
    </row>
    <row r="270" spans="1:12" s="469" customFormat="1" ht="12.5">
      <c r="C270" s="252">
        <f t="shared" si="71"/>
        <v>2016</v>
      </c>
      <c r="D270" s="144"/>
      <c r="E270" s="144">
        <f>F254/E254</f>
        <v>1.5826684563932312</v>
      </c>
      <c r="F270" s="144">
        <f t="shared" ref="F270:G270" si="75">G254/F254</f>
        <v>1.227909965726478</v>
      </c>
      <c r="G270" s="144">
        <f t="shared" si="75"/>
        <v>1.1020935915485792</v>
      </c>
      <c r="H270" s="144"/>
      <c r="I270" s="144"/>
    </row>
    <row r="271" spans="1:12" s="469" customFormat="1" ht="12.5">
      <c r="C271" s="252">
        <f t="shared" si="71"/>
        <v>2017</v>
      </c>
      <c r="D271" s="144">
        <f>E255/D255</f>
        <v>3.1181914035225202</v>
      </c>
      <c r="E271" s="144">
        <f t="shared" ref="D271:E273" si="76">F255/E255</f>
        <v>1.5748278778022682</v>
      </c>
      <c r="F271" s="144">
        <f t="shared" ref="F271" si="77">G255/F255</f>
        <v>1.2324462457384722</v>
      </c>
      <c r="G271" s="144"/>
      <c r="H271" s="144"/>
      <c r="I271" s="144"/>
      <c r="L271" s="68"/>
    </row>
    <row r="272" spans="1:12" s="469" customFormat="1" ht="12.5">
      <c r="C272" s="252">
        <f t="shared" si="71"/>
        <v>2018</v>
      </c>
      <c r="D272" s="144">
        <f t="shared" si="76"/>
        <v>3.0468861033341952</v>
      </c>
      <c r="E272" s="144">
        <f t="shared" si="76"/>
        <v>1.5609514193528324</v>
      </c>
      <c r="F272" s="144"/>
      <c r="G272" s="144"/>
      <c r="H272" s="144"/>
      <c r="I272" s="144"/>
      <c r="L272" s="68"/>
    </row>
    <row r="273" spans="1:12" s="469" customFormat="1" ht="12.5">
      <c r="C273" s="252">
        <f t="shared" si="71"/>
        <v>2019</v>
      </c>
      <c r="D273" s="144">
        <f t="shared" si="76"/>
        <v>3.0733167435496567</v>
      </c>
      <c r="F273" s="144"/>
      <c r="G273" s="144"/>
      <c r="H273" s="144"/>
      <c r="I273" s="144"/>
      <c r="L273" s="68"/>
    </row>
    <row r="274" spans="1:12" s="469" customFormat="1" ht="12.5">
      <c r="C274" s="252"/>
    </row>
    <row r="275" spans="1:12" s="469" customFormat="1" ht="12.5">
      <c r="C275" s="469" t="s">
        <v>265</v>
      </c>
      <c r="D275" s="144">
        <f>D273</f>
        <v>3.0733167435496567</v>
      </c>
      <c r="E275" s="144">
        <f>E272</f>
        <v>1.5609514193528324</v>
      </c>
      <c r="F275" s="144">
        <f>F271</f>
        <v>1.2324462457384722</v>
      </c>
      <c r="G275" s="144">
        <f>G270</f>
        <v>1.1020935915485792</v>
      </c>
      <c r="H275" s="144">
        <f>H269</f>
        <v>1.0547363205035121</v>
      </c>
      <c r="I275" s="144">
        <f>I268</f>
        <v>1.0342510521481241</v>
      </c>
    </row>
    <row r="276" spans="1:12" s="469" customFormat="1" ht="12.5">
      <c r="C276" s="469" t="s">
        <v>280</v>
      </c>
      <c r="D276" s="144">
        <f>AVERAGE(D271:D273)</f>
        <v>3.0794647501354575</v>
      </c>
      <c r="E276" s="144">
        <f>AVERAGE(E270:E272)</f>
        <v>1.5728159178494439</v>
      </c>
      <c r="F276" s="144">
        <f>AVERAGE(F269:F271)</f>
        <v>1.2323524046779177</v>
      </c>
      <c r="G276" s="144">
        <f>AVERAGE(G268:G270)</f>
        <v>1.1058468656017071</v>
      </c>
      <c r="H276" s="144">
        <f>AVERAGE(H267:H269)</f>
        <v>1.0573636359116836</v>
      </c>
      <c r="I276" s="144">
        <f>AVERAGE(I266:I268)</f>
        <v>1.0380491935883993</v>
      </c>
    </row>
    <row r="277" spans="1:12" s="469" customFormat="1" ht="12.5"/>
    <row r="278" spans="1:12" s="469" customFormat="1" ht="12.5">
      <c r="A278" s="470"/>
      <c r="B278" s="470" t="s">
        <v>317</v>
      </c>
      <c r="C278" s="470"/>
      <c r="D278" s="470"/>
      <c r="E278" s="470"/>
      <c r="F278" s="470"/>
      <c r="G278" s="470"/>
      <c r="H278" s="470"/>
      <c r="I278" s="470"/>
      <c r="J278" s="470"/>
      <c r="K278" s="470"/>
    </row>
    <row r="279" spans="1:12" s="469" customFormat="1" ht="12.5"/>
    <row r="280" spans="1:12" s="469" customFormat="1" ht="12.5">
      <c r="C280" s="252" t="s">
        <v>203</v>
      </c>
      <c r="D280" s="513" t="s">
        <v>308</v>
      </c>
      <c r="E280" s="513"/>
      <c r="F280" s="513"/>
      <c r="G280" s="513"/>
      <c r="H280" s="513"/>
      <c r="I280" s="513"/>
    </row>
    <row r="281" spans="1:12" s="469" customFormat="1" ht="12.5">
      <c r="C281" s="26" t="s">
        <v>8</v>
      </c>
      <c r="D281" s="77" t="str">
        <f t="shared" ref="D281:I281" si="78">+D263</f>
        <v>12-24</v>
      </c>
      <c r="E281" s="77" t="str">
        <f t="shared" si="78"/>
        <v>24-36</v>
      </c>
      <c r="F281" s="77" t="str">
        <f t="shared" si="78"/>
        <v>36-48</v>
      </c>
      <c r="G281" s="77" t="str">
        <f t="shared" si="78"/>
        <v>48-60</v>
      </c>
      <c r="H281" s="77" t="str">
        <f t="shared" si="78"/>
        <v>60-72</v>
      </c>
      <c r="I281" s="77" t="str">
        <f t="shared" si="78"/>
        <v>72-84</v>
      </c>
    </row>
    <row r="282" spans="1:12" s="469" customFormat="1" ht="4.5" customHeight="1"/>
    <row r="283" spans="1:12" s="469" customFormat="1" ht="12.5">
      <c r="C283" s="252">
        <f t="shared" ref="C283:C290" si="79">+C250</f>
        <v>2012</v>
      </c>
      <c r="D283" s="367"/>
      <c r="E283" s="367"/>
      <c r="F283" s="367"/>
      <c r="G283" s="367"/>
      <c r="H283" s="367"/>
      <c r="I283" s="367">
        <v>1.050958244583641</v>
      </c>
    </row>
    <row r="284" spans="1:12" s="469" customFormat="1" ht="12.5">
      <c r="C284" s="252">
        <f t="shared" si="79"/>
        <v>2013</v>
      </c>
      <c r="D284" s="367"/>
      <c r="E284" s="367"/>
      <c r="F284" s="367"/>
      <c r="G284" s="367"/>
      <c r="H284" s="367">
        <v>1.0720173722521411</v>
      </c>
      <c r="I284" s="367">
        <v>1.0437978585035681</v>
      </c>
    </row>
    <row r="285" spans="1:12" s="469" customFormat="1" ht="12.5">
      <c r="C285" s="252">
        <f t="shared" si="79"/>
        <v>2014</v>
      </c>
      <c r="D285" s="367"/>
      <c r="E285" s="367"/>
      <c r="F285" s="367"/>
      <c r="G285" s="367">
        <v>1.1286041449602031</v>
      </c>
      <c r="H285" s="367">
        <v>1.0711601744336126</v>
      </c>
      <c r="I285" s="367">
        <v>1.0386911775560508</v>
      </c>
    </row>
    <row r="286" spans="1:12" s="469" customFormat="1" ht="12.5">
      <c r="C286" s="252">
        <f t="shared" si="79"/>
        <v>2015</v>
      </c>
      <c r="D286" s="367"/>
      <c r="E286" s="367"/>
      <c r="F286" s="367">
        <v>1.2435481243745603</v>
      </c>
      <c r="G286" s="367">
        <v>1.1189440064787444</v>
      </c>
      <c r="H286" s="367">
        <v>1.0580293845991398</v>
      </c>
      <c r="I286" s="367"/>
    </row>
    <row r="287" spans="1:12" s="469" customFormat="1" ht="12.5">
      <c r="C287" s="252">
        <f t="shared" si="79"/>
        <v>2016</v>
      </c>
      <c r="D287" s="367"/>
      <c r="E287" s="367">
        <v>1.586385269442202</v>
      </c>
      <c r="F287" s="367">
        <v>1.2302689698430789</v>
      </c>
      <c r="G287" s="367">
        <v>1.1026321962430514</v>
      </c>
      <c r="H287" s="367"/>
      <c r="I287" s="367"/>
    </row>
    <row r="288" spans="1:12" s="469" customFormat="1" ht="12.5">
      <c r="C288" s="252">
        <f t="shared" si="79"/>
        <v>2017</v>
      </c>
      <c r="D288" s="367">
        <v>3.1855045493514873</v>
      </c>
      <c r="E288" s="367">
        <v>1.5693892532635971</v>
      </c>
      <c r="F288" s="367">
        <v>1.2095834232391178</v>
      </c>
      <c r="G288" s="367"/>
      <c r="H288" s="367"/>
      <c r="I288" s="367"/>
      <c r="L288" s="54"/>
    </row>
    <row r="289" spans="1:12" s="469" customFormat="1" ht="12.5">
      <c r="C289" s="252">
        <f t="shared" si="79"/>
        <v>2018</v>
      </c>
      <c r="D289" s="367">
        <v>3.1097006437243429</v>
      </c>
      <c r="E289" s="367">
        <v>1.5260307331365384</v>
      </c>
      <c r="F289" s="367"/>
      <c r="G289" s="367"/>
      <c r="H289" s="367"/>
      <c r="I289" s="367"/>
      <c r="L289" s="54"/>
    </row>
    <row r="290" spans="1:12" s="469" customFormat="1" ht="12.5">
      <c r="C290" s="252">
        <f t="shared" si="79"/>
        <v>2019</v>
      </c>
      <c r="D290" s="367">
        <v>3.0631605428139155</v>
      </c>
      <c r="E290" s="367"/>
      <c r="F290" s="367"/>
      <c r="G290" s="367"/>
      <c r="H290" s="367"/>
      <c r="I290" s="367"/>
      <c r="L290" s="54"/>
    </row>
    <row r="291" spans="1:12" s="469" customFormat="1" ht="12.5">
      <c r="C291" s="252"/>
      <c r="D291" s="144"/>
      <c r="F291" s="144"/>
      <c r="G291" s="144"/>
    </row>
    <row r="292" spans="1:12" s="469" customFormat="1" ht="12.5">
      <c r="C292" s="252"/>
      <c r="D292" s="144"/>
      <c r="F292" s="144"/>
      <c r="G292" s="144"/>
    </row>
    <row r="293" spans="1:12" s="469" customFormat="1" ht="12.5">
      <c r="C293" s="252"/>
      <c r="D293" s="144"/>
      <c r="F293" s="144"/>
      <c r="G293" s="144"/>
    </row>
    <row r="294" spans="1:12" s="469" customFormat="1" ht="26.25" customHeight="1">
      <c r="A294" s="143" t="s">
        <v>174</v>
      </c>
      <c r="B294" s="514" t="s">
        <v>281</v>
      </c>
      <c r="C294" s="514"/>
      <c r="D294" s="514"/>
      <c r="E294" s="514"/>
      <c r="F294" s="514"/>
      <c r="G294" s="514"/>
      <c r="H294" s="514"/>
      <c r="I294" s="514"/>
      <c r="J294" s="514"/>
      <c r="K294" s="514"/>
      <c r="L294" s="473"/>
    </row>
    <row r="295" spans="1:12" s="469" customFormat="1" ht="37.5" customHeight="1">
      <c r="A295" s="143" t="s">
        <v>98</v>
      </c>
      <c r="B295" s="514" t="s">
        <v>282</v>
      </c>
      <c r="C295" s="514"/>
      <c r="D295" s="514"/>
      <c r="E295" s="514"/>
      <c r="F295" s="514"/>
      <c r="G295" s="514"/>
      <c r="H295" s="514"/>
      <c r="I295" s="514"/>
      <c r="J295" s="514"/>
      <c r="K295" s="514"/>
      <c r="L295" s="473"/>
    </row>
    <row r="296" spans="1:12" s="469" customFormat="1" ht="12.5"/>
    <row r="297" spans="1:12" s="469" customFormat="1" ht="12.5">
      <c r="B297" s="469" t="s">
        <v>520</v>
      </c>
    </row>
    <row r="298" spans="1:12" ht="45" customHeight="1">
      <c r="L298" s="143" t="s">
        <v>382</v>
      </c>
    </row>
    <row r="299" spans="1:12" s="469" customFormat="1" ht="13">
      <c r="A299" s="245" t="s">
        <v>31</v>
      </c>
      <c r="B299" s="245"/>
      <c r="C299" s="245"/>
      <c r="D299" s="245"/>
      <c r="E299" s="245"/>
      <c r="F299" s="245"/>
      <c r="G299" s="245"/>
      <c r="H299" s="245"/>
      <c r="I299" s="245"/>
      <c r="J299" s="245"/>
      <c r="K299" s="245"/>
      <c r="L299" s="245"/>
    </row>
    <row r="300" spans="1:12" s="469" customFormat="1" ht="13">
      <c r="A300" s="245" t="s">
        <v>261</v>
      </c>
      <c r="B300" s="245"/>
      <c r="C300" s="245"/>
      <c r="D300" s="245"/>
      <c r="E300" s="245"/>
      <c r="F300" s="245"/>
      <c r="G300" s="245"/>
      <c r="H300" s="245"/>
      <c r="I300" s="245"/>
      <c r="J300" s="245"/>
      <c r="K300" s="245"/>
      <c r="L300" s="245"/>
    </row>
    <row r="301" spans="1:12" s="469" customFormat="1" ht="13">
      <c r="A301" s="245" t="s">
        <v>262</v>
      </c>
      <c r="B301" s="245"/>
      <c r="C301" s="245"/>
      <c r="D301" s="245"/>
      <c r="E301" s="245"/>
      <c r="F301" s="245"/>
      <c r="G301" s="245"/>
      <c r="H301" s="245"/>
      <c r="I301" s="245"/>
      <c r="J301" s="245"/>
      <c r="K301" s="245"/>
      <c r="L301" s="245"/>
    </row>
    <row r="302" spans="1:12" s="469" customFormat="1" ht="12.65" customHeight="1">
      <c r="A302" s="299"/>
      <c r="B302" s="299"/>
      <c r="C302" s="299"/>
      <c r="D302" s="299"/>
      <c r="E302" s="299"/>
      <c r="F302" s="299"/>
      <c r="G302" s="299"/>
      <c r="H302" s="299"/>
      <c r="I302" s="299"/>
      <c r="J302" s="299"/>
      <c r="K302" s="299"/>
      <c r="L302" s="299"/>
    </row>
    <row r="303" spans="1:12" s="469" customFormat="1" ht="12.65" customHeight="1"/>
    <row r="304" spans="1:12" s="469" customFormat="1" ht="31.9" customHeight="1">
      <c r="A304" s="470"/>
      <c r="B304" s="470" t="s">
        <v>318</v>
      </c>
      <c r="C304" s="470"/>
      <c r="D304" s="470"/>
      <c r="E304" s="470"/>
      <c r="F304" s="470"/>
      <c r="G304" s="470"/>
      <c r="H304" s="470"/>
      <c r="I304" s="470"/>
    </row>
    <row r="305" spans="1:12" s="469" customFormat="1" ht="28.15" customHeight="1"/>
    <row r="306" spans="1:12" s="469" customFormat="1" ht="12.5">
      <c r="C306" s="252" t="s">
        <v>203</v>
      </c>
      <c r="D306" s="513" t="s">
        <v>308</v>
      </c>
      <c r="E306" s="513"/>
      <c r="F306" s="513"/>
      <c r="G306" s="513"/>
      <c r="H306" s="513"/>
      <c r="I306" s="513"/>
      <c r="J306" s="252"/>
      <c r="K306" s="252"/>
    </row>
    <row r="307" spans="1:12" s="469" customFormat="1" ht="12.5">
      <c r="C307" s="26" t="s">
        <v>8</v>
      </c>
      <c r="D307" s="77" t="str">
        <f t="shared" ref="D307:I307" si="80">D281</f>
        <v>12-24</v>
      </c>
      <c r="E307" s="77" t="str">
        <f t="shared" si="80"/>
        <v>24-36</v>
      </c>
      <c r="F307" s="77" t="str">
        <f t="shared" si="80"/>
        <v>36-48</v>
      </c>
      <c r="G307" s="77" t="str">
        <f t="shared" si="80"/>
        <v>48-60</v>
      </c>
      <c r="H307" s="77" t="str">
        <f t="shared" si="80"/>
        <v>60-72</v>
      </c>
      <c r="I307" s="77" t="str">
        <f t="shared" si="80"/>
        <v>72-84</v>
      </c>
      <c r="L307" s="26"/>
    </row>
    <row r="308" spans="1:12" s="469" customFormat="1" ht="4.5" customHeight="1"/>
    <row r="309" spans="1:12" s="469" customFormat="1" ht="12.5">
      <c r="C309" s="252">
        <f t="shared" ref="C309:C316" si="81">C283</f>
        <v>2012</v>
      </c>
      <c r="D309" s="480"/>
      <c r="E309" s="480"/>
      <c r="F309" s="480"/>
      <c r="G309" s="480"/>
      <c r="H309" s="480"/>
      <c r="I309" s="272">
        <f t="shared" ref="I309" si="82">I266/I283-1</f>
        <v>-7.8305694300693229E-3</v>
      </c>
      <c r="L309" s="479"/>
    </row>
    <row r="310" spans="1:12" s="469" customFormat="1" ht="12.5">
      <c r="C310" s="252">
        <f t="shared" si="81"/>
        <v>2013</v>
      </c>
      <c r="D310" s="480"/>
      <c r="E310" s="480"/>
      <c r="F310" s="480"/>
      <c r="G310" s="480"/>
      <c r="H310" s="272">
        <f t="shared" ref="H310:I310" si="83">H267/H284-1</f>
        <v>-1.4732152282451838E-2</v>
      </c>
      <c r="I310" s="272">
        <f t="shared" si="83"/>
        <v>-6.3517786646204444E-3</v>
      </c>
      <c r="L310" s="479"/>
    </row>
    <row r="311" spans="1:12" s="469" customFormat="1" ht="12.5">
      <c r="C311" s="252">
        <f t="shared" si="81"/>
        <v>2014</v>
      </c>
      <c r="D311" s="480"/>
      <c r="E311" s="480"/>
      <c r="F311" s="480"/>
      <c r="G311" s="272">
        <f t="shared" ref="G311:H311" si="84">G268/G285-1</f>
        <v>-1.7558019181830309E-2</v>
      </c>
      <c r="H311" s="272">
        <f t="shared" si="84"/>
        <v>-9.3635261244343626E-3</v>
      </c>
      <c r="I311" s="272">
        <f>I268/I285-1</f>
        <v>-4.2747310306167075E-3</v>
      </c>
      <c r="L311" s="479"/>
    </row>
    <row r="312" spans="1:12" s="469" customFormat="1" ht="12.5">
      <c r="C312" s="252">
        <f t="shared" si="81"/>
        <v>2015</v>
      </c>
      <c r="D312" s="480"/>
      <c r="E312" s="480"/>
      <c r="F312" s="272">
        <f t="shared" ref="F312:G312" si="85">F269/F286-1</f>
        <v>-5.506117271658284E-3</v>
      </c>
      <c r="G312" s="272">
        <f t="shared" si="85"/>
        <v>-1.0979184736116809E-2</v>
      </c>
      <c r="H312" s="272">
        <f>H269/H286-1</f>
        <v>-3.1124505080502018E-3</v>
      </c>
      <c r="I312" s="480"/>
      <c r="L312" s="481"/>
    </row>
    <row r="313" spans="1:12" s="469" customFormat="1" ht="12.5">
      <c r="C313" s="252">
        <f t="shared" si="81"/>
        <v>2016</v>
      </c>
      <c r="D313" s="480"/>
      <c r="E313" s="272">
        <f t="shared" ref="D313:E315" si="86">E270/E287-1</f>
        <v>-2.3429447565898043E-3</v>
      </c>
      <c r="F313" s="272">
        <f t="shared" ref="F313" si="87">F270/F287-1</f>
        <v>-1.917470223524953E-3</v>
      </c>
      <c r="G313" s="272">
        <f>G270/G287-1</f>
        <v>-4.8847176448085783E-4</v>
      </c>
      <c r="H313" s="480"/>
      <c r="I313" s="480"/>
      <c r="L313" s="481"/>
    </row>
    <row r="314" spans="1:12" s="469" customFormat="1" ht="12.5">
      <c r="C314" s="252">
        <f t="shared" si="81"/>
        <v>2017</v>
      </c>
      <c r="D314" s="272">
        <f t="shared" si="86"/>
        <v>-2.1131078228304845E-2</v>
      </c>
      <c r="E314" s="272">
        <f t="shared" si="86"/>
        <v>3.4654401560105796E-3</v>
      </c>
      <c r="F314" s="272">
        <f>F271/F288-1</f>
        <v>1.8901401970382814E-2</v>
      </c>
      <c r="G314" s="480"/>
      <c r="H314" s="480"/>
      <c r="I314" s="480"/>
      <c r="L314" s="481"/>
    </row>
    <row r="315" spans="1:12" s="469" customFormat="1" ht="12.5">
      <c r="C315" s="252">
        <f t="shared" si="81"/>
        <v>2018</v>
      </c>
      <c r="D315" s="272">
        <f t="shared" si="86"/>
        <v>-2.0199545739848945E-2</v>
      </c>
      <c r="E315" s="272">
        <f>E272/E289-1</f>
        <v>2.2883343996958461E-2</v>
      </c>
      <c r="F315" s="480"/>
      <c r="G315" s="480"/>
      <c r="H315" s="480"/>
      <c r="I315" s="480"/>
      <c r="L315" s="481"/>
    </row>
    <row r="316" spans="1:12" s="469" customFormat="1" ht="12.5">
      <c r="C316" s="252">
        <f t="shared" si="81"/>
        <v>2019</v>
      </c>
      <c r="D316" s="272">
        <f>D273/D290-1</f>
        <v>3.3155953120274084E-3</v>
      </c>
      <c r="E316" s="480"/>
      <c r="F316" s="480"/>
      <c r="G316" s="480"/>
      <c r="H316" s="480"/>
      <c r="I316" s="480"/>
      <c r="L316" s="481"/>
    </row>
    <row r="317" spans="1:12" s="469" customFormat="1" ht="35.5" customHeight="1">
      <c r="C317" s="252"/>
      <c r="D317" s="480"/>
      <c r="F317" s="480"/>
      <c r="G317" s="480"/>
      <c r="H317" s="480"/>
      <c r="I317" s="480"/>
      <c r="L317" s="479"/>
    </row>
    <row r="318" spans="1:12" s="469" customFormat="1" ht="12.75" customHeight="1">
      <c r="A318" s="314"/>
      <c r="B318" s="313" t="s">
        <v>400</v>
      </c>
      <c r="C318" s="314"/>
      <c r="D318" s="314"/>
      <c r="E318" s="314"/>
      <c r="F318" s="314"/>
      <c r="G318" s="314"/>
      <c r="H318" s="314"/>
      <c r="I318" s="314"/>
      <c r="J318" s="470"/>
      <c r="K318" s="470"/>
      <c r="L318" s="470"/>
    </row>
    <row r="319" spans="1:12" s="469" customFormat="1" ht="12.75" customHeight="1">
      <c r="A319" s="314"/>
      <c r="B319" s="313" t="s">
        <v>399</v>
      </c>
      <c r="C319" s="314"/>
      <c r="D319" s="314"/>
      <c r="E319" s="314"/>
      <c r="F319" s="314"/>
      <c r="G319" s="314"/>
      <c r="H319" s="314"/>
      <c r="I319" s="314"/>
      <c r="J319" s="470"/>
      <c r="K319" s="470"/>
      <c r="L319" s="470"/>
    </row>
    <row r="320" spans="1:12" s="469" customFormat="1" ht="28.15" customHeight="1">
      <c r="B320" s="470"/>
      <c r="C320" s="470"/>
      <c r="D320" s="470"/>
      <c r="E320" s="470"/>
      <c r="F320" s="470"/>
      <c r="G320" s="470"/>
      <c r="H320" s="470"/>
      <c r="I320" s="470"/>
    </row>
    <row r="321" spans="3:9" s="469" customFormat="1" ht="12.5">
      <c r="C321" s="252" t="s">
        <v>203</v>
      </c>
      <c r="D321" s="513" t="s">
        <v>308</v>
      </c>
      <c r="E321" s="513"/>
      <c r="F321" s="513"/>
      <c r="G321" s="513"/>
      <c r="H321" s="513"/>
      <c r="I321" s="513"/>
    </row>
    <row r="322" spans="3:9" s="469" customFormat="1" ht="12.5">
      <c r="C322" s="26" t="s">
        <v>8</v>
      </c>
      <c r="D322" s="77" t="str">
        <f t="shared" ref="D322:I322" si="88">D307</f>
        <v>12-24</v>
      </c>
      <c r="E322" s="77" t="str">
        <f t="shared" si="88"/>
        <v>24-36</v>
      </c>
      <c r="F322" s="77" t="str">
        <f t="shared" si="88"/>
        <v>36-48</v>
      </c>
      <c r="G322" s="77" t="str">
        <f t="shared" si="88"/>
        <v>48-60</v>
      </c>
      <c r="H322" s="77" t="str">
        <f t="shared" si="88"/>
        <v>60-72</v>
      </c>
      <c r="I322" s="77" t="str">
        <f t="shared" si="88"/>
        <v>72-84</v>
      </c>
    </row>
    <row r="323" spans="3:9" s="469" customFormat="1" ht="4.5" customHeight="1"/>
    <row r="324" spans="3:9" s="469" customFormat="1" ht="12.5">
      <c r="C324" s="252">
        <f t="shared" ref="C324:C331" si="89">+C309</f>
        <v>2012</v>
      </c>
      <c r="D324" s="484"/>
      <c r="E324" s="484"/>
      <c r="F324" s="484"/>
      <c r="G324" s="484"/>
      <c r="H324" s="484"/>
      <c r="I324" s="378">
        <v>1.0427700715289971</v>
      </c>
    </row>
    <row r="325" spans="3:9" s="469" customFormat="1" ht="12.5">
      <c r="C325" s="252">
        <f t="shared" si="89"/>
        <v>2013</v>
      </c>
      <c r="D325" s="484"/>
      <c r="E325" s="484"/>
      <c r="F325" s="484"/>
      <c r="G325" s="484"/>
      <c r="H325" s="378">
        <v>1.0562071327532117</v>
      </c>
      <c r="I325" s="378">
        <v>1.0373687430741363</v>
      </c>
    </row>
    <row r="326" spans="3:9" s="469" customFormat="1" ht="12.5">
      <c r="C326" s="252">
        <f t="shared" si="89"/>
        <v>2014</v>
      </c>
      <c r="D326" s="484"/>
      <c r="E326" s="484"/>
      <c r="F326" s="484"/>
      <c r="G326" s="378">
        <v>1.1091769963437137</v>
      </c>
      <c r="H326" s="378">
        <v>1.0609716635207307</v>
      </c>
      <c r="I326" s="378">
        <v>1.0345585544591891</v>
      </c>
    </row>
    <row r="327" spans="3:9" s="469" customFormat="1" ht="12.5">
      <c r="C327" s="252">
        <f t="shared" si="89"/>
        <v>2015</v>
      </c>
      <c r="D327" s="484"/>
      <c r="E327" s="484"/>
      <c r="F327" s="378">
        <v>1.237150390114057</v>
      </c>
      <c r="G327" s="378">
        <v>1.1067142922802853</v>
      </c>
      <c r="H327" s="378">
        <v>1.054707027362483</v>
      </c>
      <c r="I327" s="484"/>
    </row>
    <row r="328" spans="3:9" s="469" customFormat="1" ht="12.5">
      <c r="C328" s="252">
        <f t="shared" si="89"/>
        <v>2016</v>
      </c>
      <c r="D328" s="484"/>
      <c r="E328" s="378">
        <v>1.5822840896160486</v>
      </c>
      <c r="F328" s="378">
        <v>1.2276415116250643</v>
      </c>
      <c r="G328" s="378">
        <v>1.1024612156437776</v>
      </c>
      <c r="H328" s="484"/>
      <c r="I328" s="484"/>
    </row>
    <row r="329" spans="3:9" s="469" customFormat="1" ht="12.5">
      <c r="C329" s="252">
        <f t="shared" si="89"/>
        <v>2017</v>
      </c>
      <c r="D329" s="378">
        <v>3.117697515842849</v>
      </c>
      <c r="E329" s="378">
        <v>1.5744372756047806</v>
      </c>
      <c r="F329" s="378">
        <v>1.2328706963841631</v>
      </c>
      <c r="G329" s="484"/>
      <c r="H329" s="484"/>
      <c r="I329" s="484"/>
    </row>
    <row r="330" spans="3:9" s="469" customFormat="1" ht="12.5">
      <c r="C330" s="252">
        <f t="shared" si="89"/>
        <v>2018</v>
      </c>
      <c r="D330" s="378">
        <v>3.0471794127490694</v>
      </c>
      <c r="E330" s="378">
        <v>1.5609199829393587</v>
      </c>
      <c r="F330" s="484"/>
      <c r="G330" s="484"/>
      <c r="H330" s="484"/>
      <c r="I330" s="484"/>
    </row>
    <row r="331" spans="3:9" s="469" customFormat="1" ht="12.5">
      <c r="C331" s="252">
        <f t="shared" si="89"/>
        <v>2019</v>
      </c>
      <c r="D331" s="378">
        <v>3.07315566844074</v>
      </c>
      <c r="E331" s="377"/>
      <c r="F331" s="484"/>
      <c r="G331" s="484"/>
      <c r="H331" s="484"/>
      <c r="I331" s="484"/>
    </row>
    <row r="332" spans="3:9" s="469" customFormat="1" ht="12.5">
      <c r="C332" s="252"/>
    </row>
    <row r="333" spans="3:9" s="469" customFormat="1" ht="12.5">
      <c r="C333" s="44" t="s">
        <v>265</v>
      </c>
      <c r="D333" s="487">
        <f>D331</f>
        <v>3.07315566844074</v>
      </c>
      <c r="E333" s="487">
        <f>E330</f>
        <v>1.5609199829393587</v>
      </c>
      <c r="F333" s="487">
        <f>F329</f>
        <v>1.2328706963841631</v>
      </c>
      <c r="G333" s="487">
        <f>G328</f>
        <v>1.1024612156437776</v>
      </c>
      <c r="H333" s="487">
        <f>H327</f>
        <v>1.054707027362483</v>
      </c>
      <c r="I333" s="487">
        <f>I326</f>
        <v>1.0345585544591891</v>
      </c>
    </row>
    <row r="334" spans="3:9" s="469" customFormat="1" ht="12.5">
      <c r="C334" s="469" t="s">
        <v>521</v>
      </c>
      <c r="D334" s="144">
        <f>AVERAGE(D330:D331)</f>
        <v>3.0601675405949047</v>
      </c>
      <c r="E334" s="144">
        <f>AVERAGE(E329:E330)</f>
        <v>1.5676786292720697</v>
      </c>
      <c r="F334" s="144">
        <f>AVERAGE(F328:F329)</f>
        <v>1.2302561040046136</v>
      </c>
      <c r="G334" s="144">
        <f>AVERAGE(G327:G328)</f>
        <v>1.1045877539620315</v>
      </c>
      <c r="H334" s="144">
        <f>AVERAGE(H326:H327)</f>
        <v>1.0578393454416068</v>
      </c>
      <c r="I334" s="144">
        <f>AVERAGE(I325:I326)</f>
        <v>1.0359636487666628</v>
      </c>
    </row>
    <row r="335" spans="3:9" s="469" customFormat="1" ht="12.5">
      <c r="C335" s="469" t="s">
        <v>280</v>
      </c>
      <c r="D335" s="144">
        <f>AVERAGE(D329:D331)</f>
        <v>3.0793441990108863</v>
      </c>
      <c r="E335" s="144">
        <f>AVERAGE(E328:E330)</f>
        <v>1.5725471160533961</v>
      </c>
      <c r="F335" s="144">
        <f>AVERAGE(F327:F329)</f>
        <v>1.2325541993744282</v>
      </c>
      <c r="G335" s="144">
        <f>AVERAGE(G326:G328)</f>
        <v>1.1061175014225924</v>
      </c>
      <c r="H335" s="144">
        <f>AVERAGE(H325:H327)</f>
        <v>1.0572952745454751</v>
      </c>
      <c r="I335" s="144">
        <f>AVERAGE(I324:I326)</f>
        <v>1.0382324563541074</v>
      </c>
    </row>
    <row r="336" spans="3:9" s="469" customFormat="1" ht="12.5">
      <c r="D336" s="144"/>
      <c r="E336" s="144"/>
      <c r="F336" s="144"/>
      <c r="G336" s="144"/>
      <c r="H336" s="144"/>
      <c r="I336" s="144"/>
    </row>
    <row r="337" spans="1:11" s="469" customFormat="1" ht="12.5">
      <c r="D337" s="144"/>
      <c r="E337" s="144"/>
      <c r="F337" s="144"/>
      <c r="G337" s="144"/>
      <c r="H337" s="144"/>
      <c r="I337" s="144"/>
    </row>
    <row r="338" spans="1:11" s="469" customFormat="1" ht="12.5">
      <c r="D338" s="144"/>
      <c r="E338" s="144"/>
      <c r="F338" s="144"/>
      <c r="G338" s="144"/>
      <c r="H338" s="144"/>
      <c r="I338" s="144"/>
    </row>
    <row r="339" spans="1:11" s="469" customFormat="1" ht="12.75" customHeight="1">
      <c r="A339" s="143" t="s">
        <v>283</v>
      </c>
      <c r="B339" s="36" t="s">
        <v>284</v>
      </c>
      <c r="C339" s="36"/>
      <c r="D339" s="36"/>
      <c r="E339" s="36"/>
      <c r="F339" s="36"/>
      <c r="G339" s="36"/>
      <c r="H339" s="36"/>
      <c r="I339" s="36"/>
      <c r="J339" s="36"/>
      <c r="K339" s="468"/>
    </row>
    <row r="340" spans="1:11" s="469" customFormat="1" ht="12.75" customHeight="1">
      <c r="A340" s="143" t="s">
        <v>285</v>
      </c>
      <c r="B340" s="36" t="s">
        <v>389</v>
      </c>
      <c r="C340" s="473"/>
      <c r="D340" s="473"/>
      <c r="E340" s="473"/>
      <c r="F340" s="473"/>
      <c r="G340" s="473"/>
      <c r="H340" s="473"/>
      <c r="I340" s="473"/>
      <c r="J340" s="473"/>
      <c r="K340" s="473"/>
    </row>
    <row r="341" spans="1:11" s="469" customFormat="1" ht="12.75" customHeight="1">
      <c r="B341" s="469" t="s">
        <v>390</v>
      </c>
      <c r="D341" s="483"/>
      <c r="E341" s="483"/>
      <c r="F341" s="483"/>
      <c r="G341" s="483"/>
      <c r="H341" s="483"/>
      <c r="I341" s="483"/>
    </row>
    <row r="342" spans="1:11" s="469" customFormat="1" ht="12.75" customHeight="1">
      <c r="D342" s="483"/>
      <c r="E342" s="483"/>
      <c r="F342" s="483"/>
      <c r="G342" s="483"/>
      <c r="H342" s="483"/>
      <c r="I342" s="483"/>
    </row>
    <row r="343" spans="1:11" s="469" customFormat="1" ht="12.75" customHeight="1">
      <c r="B343" s="469" t="s">
        <v>520</v>
      </c>
      <c r="C343" s="252"/>
      <c r="D343" s="26"/>
      <c r="E343" s="26"/>
      <c r="F343" s="26"/>
      <c r="G343" s="26"/>
      <c r="H343" s="26"/>
      <c r="I343" s="26"/>
    </row>
  </sheetData>
  <mergeCells count="30">
    <mergeCell ref="D46:J46"/>
    <mergeCell ref="A6:J6"/>
    <mergeCell ref="D9:J9"/>
    <mergeCell ref="A23:J23"/>
    <mergeCell ref="D25:J25"/>
    <mergeCell ref="A44:J44"/>
    <mergeCell ref="D187:J187"/>
    <mergeCell ref="D69:J69"/>
    <mergeCell ref="D85:J85"/>
    <mergeCell ref="D101:J101"/>
    <mergeCell ref="B116:K116"/>
    <mergeCell ref="B117:K117"/>
    <mergeCell ref="D128:J128"/>
    <mergeCell ref="D144:J144"/>
    <mergeCell ref="D160:J160"/>
    <mergeCell ref="B175:K175"/>
    <mergeCell ref="B176:K176"/>
    <mergeCell ref="B177:J177"/>
    <mergeCell ref="D321:I321"/>
    <mergeCell ref="D204:J204"/>
    <mergeCell ref="D219:J219"/>
    <mergeCell ref="B233:K233"/>
    <mergeCell ref="B234:K234"/>
    <mergeCell ref="B235:K235"/>
    <mergeCell ref="D246:J246"/>
    <mergeCell ref="D262:I262"/>
    <mergeCell ref="D280:I280"/>
    <mergeCell ref="B294:K294"/>
    <mergeCell ref="B295:K295"/>
    <mergeCell ref="D306:I306"/>
  </mergeCells>
  <printOptions horizontalCentered="1"/>
  <pageMargins left="0.25" right="0.25" top="0.33" bottom="0.5" header="0.2" footer="0.3"/>
  <pageSetup scale="82" fitToHeight="6" orientation="portrait" blackAndWhite="1" horizontalDpi="1200" verticalDpi="1200" r:id="rId1"/>
  <headerFooter scaleWithDoc="0"/>
  <rowBreaks count="5" manualBreakCount="5">
    <brk id="60" max="10" man="1"/>
    <brk id="119" max="10" man="1"/>
    <brk id="178" max="10" man="1"/>
    <brk id="237" max="10" man="1"/>
    <brk id="297" max="10"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M225"/>
  <sheetViews>
    <sheetView zoomScaleNormal="100" zoomScaleSheetLayoutView="100" workbookViewId="0"/>
  </sheetViews>
  <sheetFormatPr defaultRowHeight="14.5"/>
  <cols>
    <col min="1" max="1" width="6.7265625" customWidth="1"/>
    <col min="2" max="2" width="14.7265625" customWidth="1"/>
    <col min="3" max="12" width="8.7265625" customWidth="1"/>
    <col min="13" max="13" width="8.7265625" bestFit="1" customWidth="1"/>
  </cols>
  <sheetData>
    <row r="1" spans="1:13">
      <c r="A1" s="349"/>
      <c r="B1" s="349"/>
      <c r="C1" s="349"/>
      <c r="D1" s="349"/>
      <c r="E1" s="349"/>
      <c r="F1" s="349"/>
      <c r="G1" s="349"/>
      <c r="H1" s="349"/>
      <c r="I1" s="349"/>
      <c r="J1" s="349"/>
      <c r="K1" s="349"/>
      <c r="L1" s="349"/>
      <c r="M1" s="143" t="s">
        <v>406</v>
      </c>
    </row>
    <row r="2" spans="1:13">
      <c r="A2" s="245" t="s">
        <v>412</v>
      </c>
      <c r="B2" s="245"/>
      <c r="C2" s="245"/>
      <c r="D2" s="245"/>
      <c r="E2" s="245"/>
      <c r="F2" s="245"/>
      <c r="G2" s="245"/>
      <c r="H2" s="245"/>
      <c r="I2" s="245"/>
      <c r="J2" s="245"/>
      <c r="K2" s="245"/>
      <c r="L2" s="245"/>
      <c r="M2" s="245"/>
    </row>
    <row r="3" spans="1:13">
      <c r="A3" s="245" t="s">
        <v>413</v>
      </c>
      <c r="B3" s="245"/>
      <c r="C3" s="245"/>
      <c r="D3" s="245"/>
      <c r="E3" s="245"/>
      <c r="F3" s="245"/>
      <c r="G3" s="245"/>
      <c r="H3" s="245"/>
      <c r="I3" s="245"/>
      <c r="J3" s="245"/>
      <c r="K3" s="245"/>
      <c r="L3" s="245"/>
      <c r="M3" s="245"/>
    </row>
    <row r="4" spans="1:13">
      <c r="A4" s="245" t="s">
        <v>414</v>
      </c>
      <c r="B4" s="245"/>
      <c r="C4" s="245"/>
      <c r="D4" s="245"/>
      <c r="E4" s="245"/>
      <c r="F4" s="245"/>
      <c r="G4" s="245"/>
      <c r="H4" s="245"/>
      <c r="I4" s="245"/>
      <c r="J4" s="245"/>
      <c r="K4" s="245"/>
      <c r="L4" s="245"/>
      <c r="M4" s="245"/>
    </row>
    <row r="5" spans="1:13">
      <c r="A5" s="245"/>
      <c r="B5" s="245"/>
      <c r="C5" s="245"/>
      <c r="D5" s="245"/>
      <c r="E5" s="245"/>
      <c r="F5" s="245"/>
      <c r="G5" s="245"/>
      <c r="H5" s="245"/>
      <c r="I5" s="245"/>
      <c r="J5" s="245"/>
      <c r="K5" s="245"/>
      <c r="L5" s="245"/>
      <c r="M5" s="245"/>
    </row>
    <row r="6" spans="1:13">
      <c r="A6" s="245"/>
      <c r="B6" s="245"/>
      <c r="C6" s="245"/>
      <c r="D6" s="245"/>
      <c r="E6" s="245"/>
      <c r="F6" s="245"/>
      <c r="G6" s="245"/>
      <c r="H6" s="245"/>
      <c r="I6" s="245"/>
      <c r="J6" s="245"/>
      <c r="K6" s="245"/>
      <c r="L6" s="245"/>
      <c r="M6" s="245"/>
    </row>
    <row r="7" spans="1:13">
      <c r="A7" s="342"/>
      <c r="B7" s="342"/>
      <c r="C7" s="342"/>
      <c r="D7" s="342"/>
      <c r="E7" s="342"/>
      <c r="F7" s="342"/>
      <c r="G7" s="342"/>
      <c r="H7" s="342"/>
      <c r="I7" s="342"/>
      <c r="J7" s="342"/>
      <c r="K7" s="342"/>
      <c r="L7" s="342"/>
      <c r="M7" s="349"/>
    </row>
    <row r="8" spans="1:13">
      <c r="A8" s="343" t="s">
        <v>423</v>
      </c>
      <c r="B8" s="343"/>
      <c r="C8" s="343"/>
      <c r="D8" s="343"/>
      <c r="E8" s="343"/>
      <c r="F8" s="343"/>
      <c r="G8" s="343"/>
      <c r="H8" s="343"/>
      <c r="I8" s="343"/>
      <c r="J8" s="343"/>
      <c r="K8" s="343"/>
      <c r="L8" s="343"/>
      <c r="M8" s="349"/>
    </row>
    <row r="9" spans="1:13">
      <c r="A9" s="342"/>
      <c r="B9" s="342"/>
      <c r="C9" s="342"/>
      <c r="D9" s="342"/>
      <c r="E9" s="342"/>
      <c r="F9" s="342"/>
      <c r="G9" s="342"/>
      <c r="H9" s="342"/>
      <c r="I9" s="342"/>
      <c r="J9" s="342"/>
      <c r="K9" s="342"/>
      <c r="L9" s="342"/>
      <c r="M9" s="349"/>
    </row>
    <row r="10" spans="1:13">
      <c r="A10" s="342"/>
      <c r="B10" s="252" t="s">
        <v>203</v>
      </c>
      <c r="C10" s="346" t="s">
        <v>308</v>
      </c>
      <c r="D10" s="350"/>
      <c r="E10" s="350"/>
      <c r="F10" s="350"/>
      <c r="G10" s="350"/>
      <c r="H10" s="350"/>
      <c r="I10" s="350"/>
      <c r="J10" s="350"/>
      <c r="K10" s="350"/>
      <c r="L10" s="350"/>
      <c r="M10" s="349"/>
    </row>
    <row r="11" spans="1:13">
      <c r="A11" s="342"/>
      <c r="B11" s="26" t="s">
        <v>8</v>
      </c>
      <c r="C11" s="77">
        <v>276</v>
      </c>
      <c r="D11" s="77">
        <v>288</v>
      </c>
      <c r="E11" s="77">
        <v>300</v>
      </c>
      <c r="F11" s="77">
        <v>312</v>
      </c>
      <c r="G11" s="77">
        <v>324</v>
      </c>
      <c r="H11" s="77">
        <v>336</v>
      </c>
      <c r="I11" s="77">
        <v>348</v>
      </c>
      <c r="J11" s="77">
        <v>360</v>
      </c>
      <c r="K11" s="77">
        <v>372</v>
      </c>
      <c r="L11" s="77">
        <v>384</v>
      </c>
      <c r="M11" s="349"/>
    </row>
    <row r="12" spans="1:13">
      <c r="A12" s="342"/>
      <c r="B12" s="252">
        <f t="shared" ref="B12:B14" si="0">B13-1</f>
        <v>1989</v>
      </c>
      <c r="C12" s="365"/>
      <c r="D12" s="365"/>
      <c r="E12" s="365"/>
      <c r="F12" s="365"/>
      <c r="G12" s="365"/>
      <c r="H12" s="365"/>
      <c r="I12" s="365">
        <v>211503.87964203066</v>
      </c>
      <c r="J12" s="365">
        <v>211592.00000000003</v>
      </c>
      <c r="K12" s="365">
        <v>211649.00000000003</v>
      </c>
      <c r="L12" s="365">
        <v>211714</v>
      </c>
      <c r="M12" s="349"/>
    </row>
    <row r="13" spans="1:13">
      <c r="A13" s="342"/>
      <c r="B13" s="252">
        <f t="shared" si="0"/>
        <v>1990</v>
      </c>
      <c r="C13" s="365"/>
      <c r="D13" s="365"/>
      <c r="E13" s="365"/>
      <c r="F13" s="365"/>
      <c r="G13" s="365"/>
      <c r="H13" s="365">
        <v>231832.84281199274</v>
      </c>
      <c r="I13" s="365">
        <v>231942.00000000003</v>
      </c>
      <c r="J13" s="365">
        <v>232021</v>
      </c>
      <c r="K13" s="365">
        <v>232099</v>
      </c>
      <c r="L13" s="365"/>
      <c r="M13" s="349"/>
    </row>
    <row r="14" spans="1:13">
      <c r="A14" s="342"/>
      <c r="B14" s="252">
        <f t="shared" si="0"/>
        <v>1991</v>
      </c>
      <c r="C14" s="365"/>
      <c r="D14" s="365"/>
      <c r="E14" s="365"/>
      <c r="F14" s="365"/>
      <c r="G14" s="365">
        <v>232497.89528714714</v>
      </c>
      <c r="H14" s="365">
        <v>232615</v>
      </c>
      <c r="I14" s="365">
        <v>232708</v>
      </c>
      <c r="J14" s="365">
        <v>232784</v>
      </c>
      <c r="K14" s="365"/>
      <c r="L14" s="365"/>
      <c r="M14" s="349"/>
    </row>
    <row r="15" spans="1:13">
      <c r="A15" s="342"/>
      <c r="B15" s="252">
        <f t="shared" ref="B15:B21" si="1">B16-1</f>
        <v>1992</v>
      </c>
      <c r="C15" s="365"/>
      <c r="D15" s="365"/>
      <c r="E15" s="365"/>
      <c r="F15" s="365">
        <v>183176.93187478159</v>
      </c>
      <c r="G15" s="365">
        <v>183258.00000000003</v>
      </c>
      <c r="H15" s="365">
        <v>183338.00000000003</v>
      </c>
      <c r="I15" s="365">
        <v>183410</v>
      </c>
      <c r="J15" s="365"/>
      <c r="K15" s="365"/>
      <c r="L15" s="365"/>
      <c r="M15" s="349"/>
    </row>
    <row r="16" spans="1:13">
      <c r="A16" s="342"/>
      <c r="B16" s="252">
        <f t="shared" si="1"/>
        <v>1993</v>
      </c>
      <c r="C16" s="365"/>
      <c r="D16" s="365"/>
      <c r="E16" s="365">
        <v>143358.89306999792</v>
      </c>
      <c r="F16" s="365">
        <v>143453</v>
      </c>
      <c r="G16" s="365">
        <v>143529</v>
      </c>
      <c r="H16" s="365">
        <v>143621</v>
      </c>
      <c r="I16" s="365"/>
      <c r="J16" s="365"/>
      <c r="K16" s="365"/>
      <c r="L16" s="365"/>
      <c r="M16" s="349"/>
    </row>
    <row r="17" spans="1:13">
      <c r="A17" s="342"/>
      <c r="B17" s="252">
        <f t="shared" si="1"/>
        <v>1994</v>
      </c>
      <c r="C17" s="365"/>
      <c r="D17" s="365">
        <v>130683.9040771974</v>
      </c>
      <c r="E17" s="365">
        <v>130793</v>
      </c>
      <c r="F17" s="365">
        <v>130872.99999999999</v>
      </c>
      <c r="G17" s="365">
        <v>130960</v>
      </c>
      <c r="H17" s="365"/>
      <c r="I17" s="365"/>
      <c r="J17" s="365"/>
      <c r="K17" s="365"/>
      <c r="L17" s="365"/>
      <c r="M17" s="349"/>
    </row>
    <row r="18" spans="1:13">
      <c r="A18" s="342"/>
      <c r="B18" s="252">
        <f t="shared" si="1"/>
        <v>1995</v>
      </c>
      <c r="C18" s="365">
        <v>121809.87275369221</v>
      </c>
      <c r="D18" s="365">
        <v>121935.00000000001</v>
      </c>
      <c r="E18" s="365">
        <v>122044.00000000001</v>
      </c>
      <c r="F18" s="365">
        <v>122168</v>
      </c>
      <c r="G18" s="365"/>
      <c r="H18" s="365"/>
      <c r="I18" s="365"/>
      <c r="J18" s="365"/>
      <c r="K18" s="365"/>
      <c r="L18" s="365"/>
      <c r="M18" s="349"/>
    </row>
    <row r="19" spans="1:13">
      <c r="A19" s="342"/>
      <c r="B19" s="252">
        <f t="shared" si="1"/>
        <v>1996</v>
      </c>
      <c r="C19" s="365">
        <v>117219</v>
      </c>
      <c r="D19" s="365">
        <v>117340</v>
      </c>
      <c r="E19" s="365">
        <v>117432</v>
      </c>
      <c r="F19" s="365"/>
      <c r="G19" s="365"/>
      <c r="H19" s="365"/>
      <c r="I19" s="365"/>
      <c r="J19" s="365"/>
      <c r="K19" s="365"/>
      <c r="L19" s="365"/>
      <c r="M19" s="349"/>
    </row>
    <row r="20" spans="1:13">
      <c r="A20" s="342"/>
      <c r="B20" s="252">
        <f t="shared" si="1"/>
        <v>1997</v>
      </c>
      <c r="C20" s="365">
        <v>122023</v>
      </c>
      <c r="D20" s="365">
        <v>122188</v>
      </c>
      <c r="E20" s="365"/>
      <c r="F20" s="365"/>
      <c r="G20" s="365"/>
      <c r="H20" s="365"/>
      <c r="I20" s="365"/>
      <c r="J20" s="365"/>
      <c r="K20" s="365"/>
      <c r="L20" s="365"/>
      <c r="M20" s="349"/>
    </row>
    <row r="21" spans="1:13">
      <c r="A21" s="342"/>
      <c r="B21" s="252">
        <f t="shared" si="1"/>
        <v>1998</v>
      </c>
      <c r="C21" s="365">
        <v>131924</v>
      </c>
      <c r="D21" s="365"/>
      <c r="E21" s="365"/>
      <c r="F21" s="365"/>
      <c r="G21" s="365"/>
      <c r="H21" s="365"/>
      <c r="I21" s="365"/>
      <c r="J21" s="365"/>
      <c r="K21" s="365"/>
      <c r="L21" s="365"/>
      <c r="M21" s="349"/>
    </row>
    <row r="22" spans="1:13">
      <c r="A22" s="342"/>
      <c r="B22" s="52">
        <v>1999</v>
      </c>
      <c r="C22" s="365"/>
      <c r="D22" s="365"/>
      <c r="E22" s="365"/>
      <c r="F22" s="365"/>
      <c r="G22" s="365"/>
      <c r="H22" s="365"/>
      <c r="I22" s="365"/>
      <c r="J22" s="365"/>
      <c r="K22" s="365"/>
      <c r="L22" s="365"/>
      <c r="M22" s="349"/>
    </row>
    <row r="23" spans="1:13">
      <c r="A23" s="342"/>
      <c r="B23" s="252"/>
      <c r="C23" s="73"/>
      <c r="D23" s="73"/>
      <c r="E23" s="73"/>
      <c r="F23" s="73"/>
      <c r="G23" s="73"/>
      <c r="H23" s="73"/>
      <c r="I23" s="73"/>
      <c r="J23" s="73"/>
      <c r="K23" s="73"/>
      <c r="L23" s="73"/>
      <c r="M23" s="349"/>
    </row>
    <row r="24" spans="1:13">
      <c r="A24" s="342"/>
      <c r="B24" s="56" t="s">
        <v>19</v>
      </c>
      <c r="C24" s="77">
        <f>$B$21</f>
        <v>1998</v>
      </c>
      <c r="D24" s="77">
        <f t="shared" ref="D24:J24" si="2">C24-1</f>
        <v>1997</v>
      </c>
      <c r="E24" s="77">
        <f t="shared" si="2"/>
        <v>1996</v>
      </c>
      <c r="F24" s="77">
        <f t="shared" si="2"/>
        <v>1995</v>
      </c>
      <c r="G24" s="77">
        <f t="shared" si="2"/>
        <v>1994</v>
      </c>
      <c r="H24" s="77">
        <f t="shared" si="2"/>
        <v>1993</v>
      </c>
      <c r="I24" s="77">
        <f t="shared" si="2"/>
        <v>1992</v>
      </c>
      <c r="J24" s="77">
        <f t="shared" si="2"/>
        <v>1991</v>
      </c>
      <c r="K24" s="77">
        <f t="shared" ref="K24:L24" si="3">J24-1</f>
        <v>1990</v>
      </c>
      <c r="L24" s="77">
        <f t="shared" si="3"/>
        <v>1989</v>
      </c>
      <c r="M24" s="77"/>
    </row>
    <row r="25" spans="1:13">
      <c r="A25" s="355"/>
      <c r="B25" s="56"/>
      <c r="C25" s="77"/>
      <c r="D25" s="77"/>
      <c r="E25" s="77"/>
      <c r="F25" s="77"/>
      <c r="G25" s="77"/>
      <c r="H25" s="77"/>
      <c r="I25" s="77"/>
      <c r="J25" s="77"/>
      <c r="K25" s="77"/>
      <c r="L25" s="77"/>
      <c r="M25" s="77"/>
    </row>
    <row r="26" spans="1:13">
      <c r="A26" s="313" t="s">
        <v>416</v>
      </c>
      <c r="B26" s="56"/>
      <c r="C26" s="445">
        <v>133280.7996728959</v>
      </c>
      <c r="D26" s="445">
        <v>123220.43566895004</v>
      </c>
      <c r="E26" s="445">
        <v>118271.83987388491</v>
      </c>
      <c r="F26" s="445">
        <v>122897.07948076117</v>
      </c>
      <c r="G26" s="445">
        <v>131578.60609538888</v>
      </c>
      <c r="H26" s="445">
        <v>144121.43015736798</v>
      </c>
      <c r="I26" s="445">
        <v>183904.14241098356</v>
      </c>
      <c r="J26" s="445">
        <v>233317.12216009479</v>
      </c>
      <c r="K26" s="445">
        <v>232496.01615207273</v>
      </c>
      <c r="L26" s="445">
        <v>212130</v>
      </c>
      <c r="M26" s="347"/>
    </row>
    <row r="27" spans="1:13">
      <c r="A27" s="342"/>
      <c r="B27" s="252"/>
      <c r="C27" s="73"/>
      <c r="D27" s="73"/>
      <c r="E27" s="73"/>
      <c r="F27" s="73"/>
      <c r="G27" s="73"/>
      <c r="H27" s="73"/>
      <c r="I27" s="73"/>
      <c r="J27" s="73"/>
      <c r="K27" s="73"/>
      <c r="L27" s="73"/>
      <c r="M27" s="349"/>
    </row>
    <row r="28" spans="1:13">
      <c r="A28" s="342"/>
      <c r="B28" s="252"/>
      <c r="C28" s="342"/>
      <c r="D28" s="342"/>
      <c r="E28" s="342"/>
      <c r="F28" s="342"/>
      <c r="G28" s="342"/>
      <c r="H28" s="342"/>
      <c r="I28" s="342"/>
      <c r="J28" s="342"/>
      <c r="K28" s="342"/>
      <c r="L28" s="342"/>
      <c r="M28" s="349"/>
    </row>
    <row r="29" spans="1:13">
      <c r="A29" s="343" t="s">
        <v>417</v>
      </c>
      <c r="B29" s="343"/>
      <c r="C29" s="343"/>
      <c r="D29" s="343"/>
      <c r="E29" s="343"/>
      <c r="F29" s="343"/>
      <c r="G29" s="343"/>
      <c r="H29" s="343"/>
      <c r="I29" s="343"/>
      <c r="J29" s="343"/>
      <c r="K29" s="343"/>
      <c r="L29" s="343"/>
      <c r="M29" s="349"/>
    </row>
    <row r="30" spans="1:13">
      <c r="A30" s="342"/>
      <c r="B30" s="342"/>
      <c r="C30" s="342"/>
      <c r="D30" s="342"/>
      <c r="E30" s="342"/>
      <c r="F30" s="342"/>
      <c r="G30" s="342"/>
      <c r="H30" s="342"/>
      <c r="I30" s="342"/>
      <c r="J30" s="342"/>
      <c r="K30" s="342"/>
      <c r="L30" s="342"/>
      <c r="M30" s="349"/>
    </row>
    <row r="31" spans="1:13">
      <c r="A31" s="342"/>
      <c r="B31" s="252" t="s">
        <v>203</v>
      </c>
      <c r="C31" s="346" t="s">
        <v>308</v>
      </c>
      <c r="D31" s="350"/>
      <c r="E31" s="350"/>
      <c r="F31" s="350"/>
      <c r="G31" s="350"/>
      <c r="H31" s="350"/>
      <c r="I31" s="350"/>
      <c r="J31" s="350"/>
      <c r="K31" s="350"/>
      <c r="L31" s="350"/>
      <c r="M31" s="349"/>
    </row>
    <row r="32" spans="1:13">
      <c r="A32" s="342"/>
      <c r="B32" s="26" t="s">
        <v>8</v>
      </c>
      <c r="C32" s="77">
        <f>C$11</f>
        <v>276</v>
      </c>
      <c r="D32" s="77">
        <f>+C32+12</f>
        <v>288</v>
      </c>
      <c r="E32" s="77">
        <f>+D32+12</f>
        <v>300</v>
      </c>
      <c r="F32" s="77">
        <f>+E32+12</f>
        <v>312</v>
      </c>
      <c r="G32" s="77">
        <f>+F32+12</f>
        <v>324</v>
      </c>
      <c r="H32" s="77">
        <f t="shared" ref="H32:L32" si="4">+G32+12</f>
        <v>336</v>
      </c>
      <c r="I32" s="77">
        <f t="shared" si="4"/>
        <v>348</v>
      </c>
      <c r="J32" s="77">
        <f t="shared" si="4"/>
        <v>360</v>
      </c>
      <c r="K32" s="77">
        <f t="shared" si="4"/>
        <v>372</v>
      </c>
      <c r="L32" s="77">
        <f t="shared" si="4"/>
        <v>384</v>
      </c>
      <c r="M32" s="349"/>
    </row>
    <row r="33" spans="1:13">
      <c r="A33" s="342"/>
      <c r="B33" s="252">
        <f t="shared" ref="B33:B35" si="5">B34-1</f>
        <v>1989</v>
      </c>
      <c r="C33" s="73"/>
      <c r="D33" s="73"/>
      <c r="E33" s="73"/>
      <c r="F33" s="73"/>
      <c r="G33" s="73"/>
      <c r="H33" s="73"/>
      <c r="I33" s="447">
        <f>I12/INDEX($C$26:$L$26,MATCH($B33,$C$24:$L$24,0))</f>
        <v>0.99704841202107508</v>
      </c>
      <c r="J33" s="447">
        <f t="shared" ref="I33:L34" si="6">J12/INDEX($C$26:$L$26,MATCH($B33,$C$24:$L$24,0))</f>
        <v>0.99746381935605544</v>
      </c>
      <c r="K33" s="447">
        <f t="shared" ref="K33" si="7">K12/INDEX($C$26:$L$26,MATCH($B33,$C$24:$L$24,0))</f>
        <v>0.99773252250978184</v>
      </c>
      <c r="L33" s="447">
        <f t="shared" si="6"/>
        <v>0.99803893838683821</v>
      </c>
      <c r="M33" s="349"/>
    </row>
    <row r="34" spans="1:13">
      <c r="A34" s="342"/>
      <c r="B34" s="252">
        <f t="shared" si="5"/>
        <v>1990</v>
      </c>
      <c r="C34" s="73"/>
      <c r="D34" s="73"/>
      <c r="E34" s="73"/>
      <c r="F34" s="73"/>
      <c r="G34" s="73"/>
      <c r="H34" s="447">
        <f>H13/INDEX($C$26:$L$26,MATCH($B34,$C$24:$L$24,0))</f>
        <v>0.99714759267252906</v>
      </c>
      <c r="I34" s="447">
        <f t="shared" si="6"/>
        <v>0.99761709399910614</v>
      </c>
      <c r="J34" s="447">
        <f t="shared" si="6"/>
        <v>0.99795688476759947</v>
      </c>
      <c r="K34" s="447">
        <f t="shared" si="6"/>
        <v>0.99829237438712481</v>
      </c>
      <c r="L34" s="447"/>
      <c r="M34" s="349"/>
    </row>
    <row r="35" spans="1:13">
      <c r="A35" s="342"/>
      <c r="B35" s="252">
        <f t="shared" si="5"/>
        <v>1991</v>
      </c>
      <c r="C35" s="73"/>
      <c r="D35" s="73"/>
      <c r="E35" s="73"/>
      <c r="F35" s="73"/>
      <c r="G35" s="447">
        <f>G14/INDEX($C$26:$L$26,MATCH($B35,$C$24:$L$24,0))</f>
        <v>0.99648878374050265</v>
      </c>
      <c r="H35" s="447">
        <f t="shared" ref="H35:J35" si="8">H14/INDEX($C$26:$L$26,MATCH($B35,$C$24:$L$24,0))</f>
        <v>0.99699069595238277</v>
      </c>
      <c r="I35" s="447">
        <f t="shared" si="8"/>
        <v>0.99738929507420881</v>
      </c>
      <c r="J35" s="447">
        <f t="shared" si="8"/>
        <v>0.99771503199096989</v>
      </c>
      <c r="K35" s="447"/>
      <c r="L35" s="73"/>
      <c r="M35" s="349"/>
    </row>
    <row r="36" spans="1:13">
      <c r="A36" s="342"/>
      <c r="B36" s="252">
        <f t="shared" ref="B36:B41" si="9">B37-1</f>
        <v>1992</v>
      </c>
      <c r="C36" s="73"/>
      <c r="D36" s="73"/>
      <c r="E36" s="73"/>
      <c r="F36" s="447">
        <f>F15/INDEX($C$26:$L$26,MATCH($B36,$C$24:$L$24,0))</f>
        <v>0.99604570877703869</v>
      </c>
      <c r="G36" s="447">
        <f t="shared" ref="G36:I36" si="10">G15/INDEX($C$26:$L$26,MATCH($B36,$C$24:$L$24,0))</f>
        <v>0.99648652606454313</v>
      </c>
      <c r="H36" s="447">
        <f t="shared" si="10"/>
        <v>0.99692153529789262</v>
      </c>
      <c r="I36" s="447">
        <f t="shared" si="10"/>
        <v>0.99731304360790707</v>
      </c>
      <c r="J36" s="447"/>
      <c r="K36" s="73"/>
      <c r="L36" s="73"/>
      <c r="M36" s="349"/>
    </row>
    <row r="37" spans="1:13">
      <c r="A37" s="342"/>
      <c r="B37" s="252">
        <f t="shared" si="9"/>
        <v>1993</v>
      </c>
      <c r="C37" s="73"/>
      <c r="D37" s="73"/>
      <c r="E37" s="447">
        <f>E16/INDEX($C$26:$L$26,MATCH($B37,$C$24:$L$24,0))</f>
        <v>0.99470906521995073</v>
      </c>
      <c r="F37" s="447">
        <f t="shared" ref="F37:H37" si="11">F16/INDEX($C$26:$L$26,MATCH($B37,$C$24:$L$24,0))</f>
        <v>0.99536203494068776</v>
      </c>
      <c r="G37" s="447">
        <f t="shared" si="11"/>
        <v>0.99588936803693173</v>
      </c>
      <c r="H37" s="447">
        <f t="shared" si="11"/>
        <v>0.99652771862712186</v>
      </c>
      <c r="I37" s="447"/>
      <c r="J37" s="73"/>
      <c r="K37" s="73"/>
      <c r="L37" s="73"/>
      <c r="M37" s="349"/>
    </row>
    <row r="38" spans="1:13">
      <c r="A38" s="342"/>
      <c r="B38" s="252">
        <f t="shared" si="9"/>
        <v>1994</v>
      </c>
      <c r="C38" s="73"/>
      <c r="D38" s="447">
        <f>D17/INDEX($C$26:$L$26,MATCH($B38,$C$24:$L$24,0))</f>
        <v>0.99320024702539511</v>
      </c>
      <c r="E38" s="447">
        <f t="shared" ref="E38:G38" si="12">E17/INDEX($C$26:$L$26,MATCH($B38,$C$24:$L$24,0))</f>
        <v>0.99402937818919168</v>
      </c>
      <c r="F38" s="447">
        <f t="shared" si="12"/>
        <v>0.99463737976615008</v>
      </c>
      <c r="G38" s="447">
        <f t="shared" si="12"/>
        <v>0.99529858148109263</v>
      </c>
      <c r="H38" s="447"/>
      <c r="I38" s="73"/>
      <c r="J38" s="73"/>
      <c r="K38" s="73"/>
      <c r="L38" s="73"/>
      <c r="M38" s="349"/>
    </row>
    <row r="39" spans="1:13">
      <c r="A39" s="342"/>
      <c r="B39" s="252">
        <f t="shared" si="9"/>
        <v>1995</v>
      </c>
      <c r="C39" s="447">
        <f>C18/INDEX($C$26:$L$26,MATCH($B39,$C$24:$L$24,0))</f>
        <v>0.9911535186054673</v>
      </c>
      <c r="D39" s="447">
        <f t="shared" ref="C39:D42" si="13">D18/INDEX($C$26:$L$26,MATCH($B39,$C$24:$L$24,0))</f>
        <v>0.99217166522731115</v>
      </c>
      <c r="E39" s="447">
        <f t="shared" ref="E39:F39" si="14">E18/INDEX($C$26:$L$26,MATCH($B39,$C$24:$L$24,0))</f>
        <v>0.99305858622218357</v>
      </c>
      <c r="F39" s="447">
        <f t="shared" si="14"/>
        <v>0.99406756056497425</v>
      </c>
      <c r="G39" s="447"/>
      <c r="H39" s="73"/>
      <c r="I39" s="73"/>
      <c r="J39" s="73"/>
      <c r="K39" s="73"/>
      <c r="L39" s="73"/>
      <c r="M39" s="349"/>
    </row>
    <row r="40" spans="1:13">
      <c r="A40" s="342"/>
      <c r="B40" s="252">
        <f t="shared" si="9"/>
        <v>1996</v>
      </c>
      <c r="C40" s="447">
        <f t="shared" si="13"/>
        <v>0.99109813565927807</v>
      </c>
      <c r="D40" s="447">
        <f t="shared" si="13"/>
        <v>0.99212120252057856</v>
      </c>
      <c r="E40" s="447">
        <f t="shared" ref="E40" si="15">E19/INDEX($C$26:$L$26,MATCH($B40,$C$24:$L$24,0))</f>
        <v>0.99289907153908796</v>
      </c>
      <c r="F40" s="447"/>
      <c r="G40" s="73"/>
      <c r="H40" s="73"/>
      <c r="I40" s="73"/>
      <c r="J40" s="73"/>
      <c r="K40" s="73"/>
      <c r="L40" s="73"/>
      <c r="M40" s="349"/>
    </row>
    <row r="41" spans="1:13">
      <c r="A41" s="342"/>
      <c r="B41" s="252">
        <f t="shared" si="9"/>
        <v>1997</v>
      </c>
      <c r="C41" s="447">
        <f t="shared" si="13"/>
        <v>0.99028216657042889</v>
      </c>
      <c r="D41" s="447">
        <f t="shared" si="13"/>
        <v>0.99162123016896453</v>
      </c>
      <c r="E41" s="447"/>
      <c r="F41" s="73"/>
      <c r="G41" s="73"/>
      <c r="H41" s="73"/>
      <c r="I41" s="73"/>
      <c r="J41" s="73"/>
      <c r="K41" s="73"/>
      <c r="L41" s="73"/>
      <c r="M41" s="349"/>
    </row>
    <row r="42" spans="1:13">
      <c r="A42" s="342"/>
      <c r="B42" s="252">
        <f>$B$21</f>
        <v>1998</v>
      </c>
      <c r="C42" s="447">
        <f t="shared" si="13"/>
        <v>0.98981999150495936</v>
      </c>
      <c r="D42" s="447"/>
      <c r="E42" s="73"/>
      <c r="F42" s="73"/>
      <c r="G42" s="73"/>
      <c r="H42" s="73"/>
      <c r="I42" s="73"/>
      <c r="J42" s="73"/>
      <c r="K42" s="73"/>
      <c r="L42" s="73"/>
      <c r="M42" s="349"/>
    </row>
    <row r="43" spans="1:13">
      <c r="A43" s="342"/>
      <c r="B43" s="252"/>
      <c r="C43" s="348"/>
      <c r="D43" s="73"/>
      <c r="E43" s="73"/>
      <c r="F43" s="73"/>
      <c r="G43" s="73"/>
      <c r="H43" s="73"/>
      <c r="I43" s="73"/>
      <c r="J43" s="73"/>
      <c r="K43" s="73"/>
      <c r="L43" s="73"/>
      <c r="M43" s="349"/>
    </row>
    <row r="44" spans="1:13">
      <c r="A44" s="344"/>
      <c r="B44" s="252"/>
      <c r="C44" s="348"/>
      <c r="D44" s="73"/>
      <c r="E44" s="73"/>
      <c r="F44" s="73"/>
      <c r="G44" s="73"/>
      <c r="H44" s="73"/>
      <c r="I44" s="73"/>
      <c r="J44" s="73"/>
      <c r="K44" s="73"/>
      <c r="L44" s="73"/>
      <c r="M44" s="349"/>
    </row>
    <row r="45" spans="1:13">
      <c r="A45" s="344"/>
      <c r="B45" s="252"/>
      <c r="C45" s="348"/>
      <c r="D45" s="73"/>
      <c r="E45" s="73"/>
      <c r="F45" s="73"/>
      <c r="G45" s="73"/>
      <c r="H45" s="73"/>
      <c r="I45" s="73"/>
      <c r="J45" s="73"/>
      <c r="K45" s="73"/>
      <c r="L45" s="73"/>
      <c r="M45" s="349"/>
    </row>
    <row r="46" spans="1:13">
      <c r="A46" s="344"/>
      <c r="B46" s="252"/>
      <c r="C46" s="348"/>
      <c r="D46" s="73"/>
      <c r="E46" s="73"/>
      <c r="F46" s="73"/>
      <c r="G46" s="73"/>
      <c r="H46" s="73"/>
      <c r="I46" s="73"/>
      <c r="J46" s="73"/>
      <c r="K46" s="73"/>
      <c r="L46" s="73"/>
      <c r="M46" s="349"/>
    </row>
    <row r="47" spans="1:13">
      <c r="A47" s="355"/>
      <c r="B47" s="252"/>
      <c r="C47" s="348"/>
      <c r="D47" s="73"/>
      <c r="E47" s="73"/>
      <c r="F47" s="73"/>
      <c r="G47" s="73"/>
      <c r="H47" s="73"/>
      <c r="I47" s="73"/>
      <c r="J47" s="73"/>
      <c r="K47" s="73"/>
      <c r="L47" s="73"/>
      <c r="M47" s="349"/>
    </row>
    <row r="48" spans="1:13">
      <c r="A48" s="355"/>
      <c r="B48" s="252"/>
      <c r="C48" s="348"/>
      <c r="D48" s="73"/>
      <c r="E48" s="73"/>
      <c r="F48" s="73"/>
      <c r="G48" s="73"/>
      <c r="H48" s="73"/>
      <c r="I48" s="73"/>
      <c r="J48" s="73"/>
      <c r="K48" s="73"/>
      <c r="L48" s="73"/>
      <c r="M48" s="349"/>
    </row>
    <row r="49" spans="1:13">
      <c r="A49" s="355"/>
      <c r="B49" s="252"/>
      <c r="C49" s="348"/>
      <c r="D49" s="73"/>
      <c r="E49" s="73"/>
      <c r="F49" s="73"/>
      <c r="G49" s="73"/>
      <c r="H49" s="73"/>
      <c r="I49" s="73"/>
      <c r="J49" s="73"/>
      <c r="K49" s="73"/>
      <c r="L49" s="73"/>
      <c r="M49" s="349"/>
    </row>
    <row r="50" spans="1:13">
      <c r="A50" s="349"/>
      <c r="B50" s="349"/>
      <c r="C50" s="349"/>
      <c r="D50" s="349"/>
      <c r="E50" s="349"/>
      <c r="F50" s="349"/>
      <c r="G50" s="349"/>
      <c r="H50" s="349"/>
      <c r="I50" s="349"/>
      <c r="J50" s="349"/>
      <c r="K50" s="349"/>
      <c r="L50" s="349"/>
      <c r="M50" s="349"/>
    </row>
    <row r="51" spans="1:13">
      <c r="A51" s="351" t="s">
        <v>22</v>
      </c>
      <c r="B51" s="349" t="s">
        <v>415</v>
      </c>
      <c r="C51" s="349"/>
      <c r="D51" s="349"/>
      <c r="E51" s="349"/>
      <c r="F51" s="349"/>
      <c r="G51" s="349"/>
      <c r="H51" s="349"/>
      <c r="I51" s="349"/>
      <c r="J51" s="349"/>
      <c r="K51" s="349"/>
      <c r="L51" s="349"/>
      <c r="M51" s="349"/>
    </row>
    <row r="52" spans="1:13">
      <c r="A52" s="351" t="s">
        <v>28</v>
      </c>
      <c r="B52" s="349" t="s">
        <v>411</v>
      </c>
      <c r="C52" s="349"/>
      <c r="D52" s="349"/>
      <c r="E52" s="349"/>
      <c r="F52" s="349"/>
      <c r="G52" s="349"/>
      <c r="H52" s="349"/>
      <c r="I52" s="349"/>
      <c r="J52" s="349"/>
      <c r="K52" s="349"/>
      <c r="L52" s="349"/>
      <c r="M52" s="349"/>
    </row>
    <row r="53" spans="1:13">
      <c r="A53" s="349"/>
      <c r="B53" s="349"/>
      <c r="C53" s="349"/>
      <c r="D53" s="349"/>
      <c r="E53" s="349"/>
      <c r="F53" s="349"/>
      <c r="G53" s="349"/>
      <c r="H53" s="349"/>
      <c r="I53" s="349"/>
      <c r="J53" s="349"/>
      <c r="K53" s="349"/>
      <c r="L53" s="349"/>
      <c r="M53" s="349"/>
    </row>
    <row r="54" spans="1:13">
      <c r="A54" s="349"/>
      <c r="B54" s="349" t="s">
        <v>286</v>
      </c>
      <c r="C54" s="349"/>
      <c r="D54" s="349"/>
      <c r="E54" s="349"/>
      <c r="F54" s="349"/>
      <c r="G54" s="349"/>
      <c r="H54" s="349"/>
      <c r="I54" s="349"/>
      <c r="J54" s="349"/>
      <c r="K54" s="349"/>
      <c r="L54" s="349"/>
      <c r="M54" s="349"/>
    </row>
    <row r="55" spans="1:13">
      <c r="A55" s="349"/>
      <c r="B55" s="349"/>
      <c r="C55" s="349"/>
      <c r="D55" s="349"/>
      <c r="E55" s="349"/>
      <c r="F55" s="349"/>
      <c r="G55" s="349"/>
      <c r="H55" s="349"/>
      <c r="I55" s="349"/>
      <c r="J55" s="349"/>
      <c r="K55" s="349"/>
      <c r="L55" s="349"/>
      <c r="M55" s="143" t="s">
        <v>407</v>
      </c>
    </row>
    <row r="56" spans="1:13">
      <c r="A56" s="245" t="str">
        <f>A2</f>
        <v>Paid Loss Development Factors</v>
      </c>
      <c r="B56" s="245"/>
      <c r="C56" s="245"/>
      <c r="D56" s="245"/>
      <c r="E56" s="245"/>
      <c r="F56" s="245"/>
      <c r="G56" s="245"/>
      <c r="H56" s="245"/>
      <c r="I56" s="245"/>
      <c r="J56" s="245"/>
      <c r="K56" s="245"/>
      <c r="L56" s="245"/>
      <c r="M56" s="245"/>
    </row>
    <row r="57" spans="1:13">
      <c r="A57" s="245" t="str">
        <f>A3</f>
        <v>Adjusted for the Impact of Claim Settlement Rate</v>
      </c>
      <c r="B57" s="245"/>
      <c r="C57" s="245"/>
      <c r="D57" s="245"/>
      <c r="E57" s="245"/>
      <c r="F57" s="245"/>
      <c r="G57" s="245"/>
      <c r="H57" s="245"/>
      <c r="I57" s="245"/>
      <c r="J57" s="245"/>
      <c r="K57" s="245"/>
      <c r="L57" s="245"/>
      <c r="M57" s="245"/>
    </row>
    <row r="58" spans="1:13">
      <c r="A58" s="245" t="str">
        <f>A4</f>
        <v>Changes on Later Period Development</v>
      </c>
      <c r="B58" s="245"/>
      <c r="C58" s="245"/>
      <c r="D58" s="245"/>
      <c r="E58" s="245"/>
      <c r="F58" s="245"/>
      <c r="G58" s="245"/>
      <c r="H58" s="245"/>
      <c r="I58" s="245"/>
      <c r="J58" s="245"/>
      <c r="K58" s="245"/>
      <c r="L58" s="245"/>
      <c r="M58" s="245"/>
    </row>
    <row r="59" spans="1:13">
      <c r="A59" s="245"/>
      <c r="B59" s="245"/>
      <c r="C59" s="245"/>
      <c r="D59" s="245"/>
      <c r="E59" s="245"/>
      <c r="F59" s="245"/>
      <c r="G59" s="245"/>
      <c r="H59" s="245"/>
      <c r="I59" s="245"/>
      <c r="J59" s="245"/>
      <c r="K59" s="245"/>
      <c r="L59" s="245"/>
      <c r="M59" s="245"/>
    </row>
    <row r="60" spans="1:13">
      <c r="A60" s="245"/>
      <c r="B60" s="245"/>
      <c r="C60" s="245"/>
      <c r="D60" s="245"/>
      <c r="E60" s="245"/>
      <c r="F60" s="245"/>
      <c r="G60" s="245"/>
      <c r="H60" s="245"/>
      <c r="I60" s="245"/>
      <c r="J60" s="245"/>
      <c r="K60" s="245"/>
      <c r="L60" s="245"/>
      <c r="M60" s="245"/>
    </row>
    <row r="61" spans="1:13">
      <c r="A61" s="349"/>
      <c r="B61" s="349"/>
      <c r="C61" s="349"/>
      <c r="D61" s="349"/>
      <c r="E61" s="349"/>
      <c r="F61" s="349"/>
      <c r="G61" s="349"/>
      <c r="H61" s="349"/>
      <c r="I61" s="349"/>
      <c r="J61" s="349"/>
      <c r="K61" s="349"/>
      <c r="L61" s="349"/>
      <c r="M61" s="349"/>
    </row>
    <row r="62" spans="1:13">
      <c r="A62" s="343" t="s">
        <v>418</v>
      </c>
      <c r="B62" s="343"/>
      <c r="C62" s="343"/>
      <c r="D62" s="343"/>
      <c r="E62" s="343"/>
      <c r="F62" s="343"/>
      <c r="G62" s="343"/>
      <c r="H62" s="343"/>
      <c r="I62" s="343"/>
      <c r="J62" s="343"/>
      <c r="K62" s="343"/>
      <c r="L62" s="343"/>
      <c r="M62" s="349"/>
    </row>
    <row r="63" spans="1:13">
      <c r="A63" s="342"/>
      <c r="B63" s="342"/>
      <c r="C63" s="342"/>
      <c r="D63" s="342"/>
      <c r="E63" s="342"/>
      <c r="F63" s="342"/>
      <c r="G63" s="342"/>
      <c r="H63" s="342"/>
      <c r="I63" s="342"/>
      <c r="J63" s="342"/>
      <c r="K63" s="342"/>
      <c r="L63" s="342"/>
      <c r="M63" s="349"/>
    </row>
    <row r="64" spans="1:13">
      <c r="A64" s="342"/>
      <c r="B64" s="252" t="s">
        <v>203</v>
      </c>
      <c r="C64" s="346" t="s">
        <v>308</v>
      </c>
      <c r="D64" s="350"/>
      <c r="E64" s="350"/>
      <c r="F64" s="350"/>
      <c r="G64" s="350"/>
      <c r="H64" s="350"/>
      <c r="I64" s="350"/>
      <c r="J64" s="350"/>
      <c r="K64" s="350"/>
      <c r="L64" s="350"/>
      <c r="M64" s="349"/>
    </row>
    <row r="65" spans="1:13">
      <c r="A65" s="342"/>
      <c r="B65" s="26" t="s">
        <v>8</v>
      </c>
      <c r="C65" s="77" t="str">
        <f>C$11-12&amp;"-"&amp;C$11</f>
        <v>264-276</v>
      </c>
      <c r="D65" s="77" t="str">
        <f t="shared" ref="D65:L65" si="16">D$11-12&amp;"-"&amp;D$11</f>
        <v>276-288</v>
      </c>
      <c r="E65" s="77" t="str">
        <f t="shared" si="16"/>
        <v>288-300</v>
      </c>
      <c r="F65" s="77" t="str">
        <f t="shared" si="16"/>
        <v>300-312</v>
      </c>
      <c r="G65" s="77" t="str">
        <f t="shared" si="16"/>
        <v>312-324</v>
      </c>
      <c r="H65" s="77" t="str">
        <f t="shared" si="16"/>
        <v>324-336</v>
      </c>
      <c r="I65" s="77" t="str">
        <f t="shared" si="16"/>
        <v>336-348</v>
      </c>
      <c r="J65" s="77" t="str">
        <f t="shared" si="16"/>
        <v>348-360</v>
      </c>
      <c r="K65" s="77" t="str">
        <f t="shared" si="16"/>
        <v>360-372</v>
      </c>
      <c r="L65" s="77" t="str">
        <f t="shared" si="16"/>
        <v>372-384</v>
      </c>
      <c r="M65" s="349"/>
    </row>
    <row r="66" spans="1:13">
      <c r="A66" s="342"/>
      <c r="B66" s="252">
        <f t="shared" ref="B66:B68" si="17">B67-1</f>
        <v>1989</v>
      </c>
      <c r="C66" s="365"/>
      <c r="D66" s="365"/>
      <c r="E66" s="365"/>
      <c r="F66" s="365"/>
      <c r="G66" s="365"/>
      <c r="H66" s="365"/>
      <c r="I66" s="365"/>
      <c r="J66" s="446">
        <v>0.14074028555017451</v>
      </c>
      <c r="K66" s="446">
        <v>0.10594795539030821</v>
      </c>
      <c r="L66" s="446">
        <v>0.13513513513507691</v>
      </c>
      <c r="M66" s="349"/>
    </row>
    <row r="67" spans="1:13">
      <c r="A67" s="342"/>
      <c r="B67" s="252">
        <f t="shared" si="17"/>
        <v>1990</v>
      </c>
      <c r="C67" s="365"/>
      <c r="D67" s="365"/>
      <c r="E67" s="365"/>
      <c r="F67" s="365"/>
      <c r="G67" s="365"/>
      <c r="H67" s="365"/>
      <c r="I67" s="446">
        <v>0.16459827530781196</v>
      </c>
      <c r="J67" s="446">
        <v>0.1425951205653396</v>
      </c>
      <c r="K67" s="446">
        <v>0.16420494263124041</v>
      </c>
      <c r="L67" s="446"/>
      <c r="M67" s="349"/>
    </row>
    <row r="68" spans="1:13">
      <c r="A68" s="342"/>
      <c r="B68" s="252">
        <f t="shared" si="17"/>
        <v>1991</v>
      </c>
      <c r="C68" s="365"/>
      <c r="D68" s="365"/>
      <c r="E68" s="365"/>
      <c r="F68" s="365"/>
      <c r="G68" s="365"/>
      <c r="H68" s="446">
        <v>0.14294539976639578</v>
      </c>
      <c r="I68" s="446">
        <v>0.132455582925115</v>
      </c>
      <c r="J68" s="446">
        <v>0.1247697177659252</v>
      </c>
      <c r="K68" s="446"/>
      <c r="L68" s="365"/>
      <c r="M68" s="349"/>
    </row>
    <row r="69" spans="1:13">
      <c r="A69" s="342"/>
      <c r="B69" s="252">
        <f t="shared" ref="B69:B74" si="18">B70-1</f>
        <v>1992</v>
      </c>
      <c r="C69" s="365"/>
      <c r="D69" s="365"/>
      <c r="E69" s="365"/>
      <c r="F69" s="365"/>
      <c r="G69" s="446">
        <v>0.11147820498013924</v>
      </c>
      <c r="H69" s="446">
        <v>0.1238117149410209</v>
      </c>
      <c r="I69" s="446">
        <v>0.12717648175287988</v>
      </c>
      <c r="J69" s="446"/>
      <c r="K69" s="365"/>
      <c r="L69" s="365"/>
      <c r="M69" s="349"/>
    </row>
    <row r="70" spans="1:13">
      <c r="A70" s="342"/>
      <c r="B70" s="252">
        <f t="shared" si="18"/>
        <v>1993</v>
      </c>
      <c r="C70" s="365"/>
      <c r="D70" s="365"/>
      <c r="E70" s="365"/>
      <c r="F70" s="446">
        <v>0.12341292189032578</v>
      </c>
      <c r="G70" s="446">
        <v>0.11369923867476771</v>
      </c>
      <c r="H70" s="446">
        <v>0.15529256715885836</v>
      </c>
      <c r="I70" s="446"/>
      <c r="J70" s="365"/>
      <c r="K70" s="365"/>
      <c r="L70" s="365"/>
      <c r="M70" s="349"/>
    </row>
    <row r="71" spans="1:13">
      <c r="A71" s="342"/>
      <c r="B71" s="252">
        <f t="shared" si="18"/>
        <v>1994</v>
      </c>
      <c r="C71" s="365"/>
      <c r="D71" s="365"/>
      <c r="E71" s="446">
        <v>0.12193548308197893</v>
      </c>
      <c r="F71" s="446">
        <v>0.10183220378449691</v>
      </c>
      <c r="G71" s="446">
        <v>0.12329825460488759</v>
      </c>
      <c r="H71" s="446"/>
      <c r="I71" s="365"/>
      <c r="J71" s="365"/>
      <c r="K71" s="365"/>
      <c r="L71" s="365"/>
      <c r="M71" s="349"/>
    </row>
    <row r="72" spans="1:13">
      <c r="A72" s="342"/>
      <c r="B72" s="252">
        <f t="shared" si="18"/>
        <v>1995</v>
      </c>
      <c r="C72" s="365"/>
      <c r="D72" s="446">
        <v>0.11509057403015466</v>
      </c>
      <c r="E72" s="446">
        <v>0.11329625273138176</v>
      </c>
      <c r="F72" s="446">
        <v>0.14535574093208359</v>
      </c>
      <c r="G72" s="446"/>
      <c r="H72" s="365"/>
      <c r="I72" s="365"/>
      <c r="J72" s="365"/>
      <c r="K72" s="365"/>
      <c r="L72" s="365"/>
      <c r="M72" s="349"/>
    </row>
    <row r="73" spans="1:13">
      <c r="A73" s="342"/>
      <c r="B73" s="252">
        <f t="shared" si="18"/>
        <v>1996</v>
      </c>
      <c r="C73" s="446">
        <v>0.13007632647176703</v>
      </c>
      <c r="D73" s="446">
        <v>0.11492725817224964</v>
      </c>
      <c r="E73" s="446">
        <v>9.8729408966420559E-2</v>
      </c>
      <c r="F73" s="446"/>
      <c r="G73" s="365"/>
      <c r="H73" s="365"/>
      <c r="I73" s="365"/>
      <c r="J73" s="365"/>
      <c r="K73" s="365"/>
      <c r="L73" s="365"/>
      <c r="M73" s="349"/>
    </row>
    <row r="74" spans="1:13">
      <c r="A74" s="342"/>
      <c r="B74" s="252">
        <f t="shared" si="18"/>
        <v>1997</v>
      </c>
      <c r="C74" s="446">
        <v>0.12941354075533029</v>
      </c>
      <c r="D74" s="446">
        <v>0.13779445884109354</v>
      </c>
      <c r="E74" s="446"/>
      <c r="F74" s="365"/>
      <c r="G74" s="365"/>
      <c r="H74" s="365"/>
      <c r="I74" s="365"/>
      <c r="J74" s="365"/>
      <c r="K74" s="365"/>
      <c r="L74" s="365"/>
      <c r="M74" s="349"/>
    </row>
    <row r="75" spans="1:13">
      <c r="A75" s="342"/>
      <c r="B75" s="252">
        <f>$B$21</f>
        <v>1998</v>
      </c>
      <c r="C75" s="446">
        <v>0.13236989595776191</v>
      </c>
      <c r="D75" s="446"/>
      <c r="E75" s="365"/>
      <c r="F75" s="365"/>
      <c r="G75" s="365"/>
      <c r="H75" s="365"/>
      <c r="I75" s="365"/>
      <c r="J75" s="365"/>
      <c r="K75" s="365"/>
      <c r="L75" s="365"/>
      <c r="M75" s="349"/>
    </row>
    <row r="76" spans="1:13">
      <c r="A76" s="342"/>
      <c r="B76" s="252">
        <f>$B$22</f>
        <v>1999</v>
      </c>
      <c r="C76" s="446"/>
      <c r="D76" s="365"/>
      <c r="E76" s="365"/>
      <c r="F76" s="365"/>
      <c r="G76" s="365"/>
      <c r="H76" s="365"/>
      <c r="I76" s="365"/>
      <c r="J76" s="365"/>
      <c r="K76" s="365"/>
      <c r="L76" s="365"/>
      <c r="M76" s="349"/>
    </row>
    <row r="77" spans="1:13">
      <c r="A77" s="342"/>
      <c r="B77" s="342"/>
      <c r="C77" s="342"/>
      <c r="D77" s="342"/>
      <c r="E77" s="342"/>
      <c r="F77" s="342"/>
      <c r="G77" s="342"/>
      <c r="H77" s="342"/>
      <c r="I77" s="342"/>
      <c r="J77" s="342"/>
      <c r="K77" s="342"/>
      <c r="L77" s="342"/>
      <c r="M77" s="349"/>
    </row>
    <row r="78" spans="1:13">
      <c r="A78" s="49"/>
      <c r="B78" s="56" t="s">
        <v>280</v>
      </c>
      <c r="C78" s="447">
        <f ca="1">AVERAGE(OFFSET(C$74:C$76,-COUNTA($C$65:C$65),0))</f>
        <v>0.13061992106161976</v>
      </c>
      <c r="D78" s="447">
        <f ca="1">AVERAGE(OFFSET(D$74:D$76,-COUNTA($C$65:D$65),0))</f>
        <v>0.12260409701449927</v>
      </c>
      <c r="E78" s="447">
        <f ca="1">AVERAGE(OFFSET(E$74:E$76,-COUNTA($C$65:E$65),0))</f>
        <v>0.11132038159326042</v>
      </c>
      <c r="F78" s="447">
        <f ca="1">AVERAGE(OFFSET(F$74:F$76,-COUNTA($C$65:F$65),0))</f>
        <v>0.12353362220230209</v>
      </c>
      <c r="G78" s="447">
        <f ca="1">AVERAGE(OFFSET(G$74:G$76,-COUNTA($C$65:G$65),0))</f>
        <v>0.11615856608659818</v>
      </c>
      <c r="H78" s="447">
        <f ca="1">AVERAGE(OFFSET(H$74:H$76,-COUNTA($C$65:H$65),0))</f>
        <v>0.14068322728875834</v>
      </c>
      <c r="I78" s="447">
        <f ca="1">AVERAGE(OFFSET(I$74:I$76,-COUNTA($C$65:I$65),0))</f>
        <v>0.14141011332860229</v>
      </c>
      <c r="J78" s="447">
        <f ca="1">AVERAGE(OFFSET(J$74:J$76,-COUNTA($C$65:J$65),0))</f>
        <v>0.13603504129381311</v>
      </c>
      <c r="K78" s="447">
        <f ca="1">AVERAGE(OFFSET(K$74:K$76,-COUNTA($C$65:K$65),0))</f>
        <v>0.13507644901077431</v>
      </c>
      <c r="L78" s="447">
        <f ca="1">AVERAGE(OFFSET(L$74:L$76,-COUNTA($C$65:L$65),0))</f>
        <v>0.13513513513507691</v>
      </c>
      <c r="M78" s="348"/>
    </row>
    <row r="79" spans="1:13">
      <c r="A79" s="49"/>
      <c r="B79" s="56"/>
      <c r="C79" s="348"/>
      <c r="D79" s="348"/>
      <c r="E79" s="348"/>
      <c r="F79" s="348"/>
      <c r="G79" s="348"/>
      <c r="H79" s="348"/>
      <c r="I79" s="348"/>
      <c r="J79" s="348"/>
      <c r="K79" s="348"/>
      <c r="L79" s="348"/>
      <c r="M79" s="348"/>
    </row>
    <row r="80" spans="1:13">
      <c r="A80" s="49"/>
      <c r="B80" s="56" t="s">
        <v>419</v>
      </c>
      <c r="C80" s="447">
        <f ca="1">1-C78</f>
        <v>0.86938007893838021</v>
      </c>
      <c r="D80" s="447">
        <f t="shared" ref="D80:L80" ca="1" si="19">1-D78</f>
        <v>0.87739590298550074</v>
      </c>
      <c r="E80" s="447">
        <f t="shared" ca="1" si="19"/>
        <v>0.88867961840673959</v>
      </c>
      <c r="F80" s="447">
        <f t="shared" ca="1" si="19"/>
        <v>0.87646637779769787</v>
      </c>
      <c r="G80" s="447">
        <f t="shared" ca="1" si="19"/>
        <v>0.88384143391340186</v>
      </c>
      <c r="H80" s="447">
        <f t="shared" ca="1" si="19"/>
        <v>0.85931677271124163</v>
      </c>
      <c r="I80" s="447">
        <f t="shared" ca="1" si="19"/>
        <v>0.85858988667139768</v>
      </c>
      <c r="J80" s="447">
        <f t="shared" ca="1" si="19"/>
        <v>0.86396495870618684</v>
      </c>
      <c r="K80" s="447">
        <f t="shared" ca="1" si="19"/>
        <v>0.86492355098922569</v>
      </c>
      <c r="L80" s="447">
        <f t="shared" ca="1" si="19"/>
        <v>0.86486486486492309</v>
      </c>
      <c r="M80" s="348"/>
    </row>
    <row r="83" spans="1:12">
      <c r="A83" s="343" t="s">
        <v>424</v>
      </c>
      <c r="B83" s="343"/>
      <c r="C83" s="343"/>
      <c r="D83" s="343"/>
      <c r="E83" s="343"/>
      <c r="F83" s="343"/>
      <c r="G83" s="343"/>
      <c r="H83" s="343"/>
      <c r="I83" s="343"/>
      <c r="J83" s="343"/>
      <c r="K83" s="343"/>
      <c r="L83" s="343"/>
    </row>
    <row r="84" spans="1:12">
      <c r="A84" s="342"/>
      <c r="B84" s="342"/>
      <c r="C84" s="342"/>
      <c r="D84" s="342"/>
      <c r="E84" s="342"/>
      <c r="F84" s="342"/>
      <c r="G84" s="342"/>
      <c r="H84" s="342"/>
      <c r="I84" s="342"/>
      <c r="J84" s="342"/>
      <c r="K84" s="342"/>
      <c r="L84" s="342"/>
    </row>
    <row r="85" spans="1:12">
      <c r="A85" s="342"/>
      <c r="B85" s="252" t="s">
        <v>203</v>
      </c>
      <c r="C85" s="346" t="s">
        <v>308</v>
      </c>
      <c r="D85" s="350"/>
      <c r="E85" s="350"/>
      <c r="F85" s="350"/>
      <c r="G85" s="350"/>
      <c r="H85" s="350"/>
      <c r="I85" s="350"/>
      <c r="J85" s="350"/>
      <c r="K85" s="350"/>
    </row>
    <row r="86" spans="1:12">
      <c r="A86" s="342"/>
      <c r="B86" s="26" t="s">
        <v>8</v>
      </c>
      <c r="C86" s="77">
        <f>C$11</f>
        <v>276</v>
      </c>
      <c r="D86" s="77">
        <f>+C86+12</f>
        <v>288</v>
      </c>
      <c r="E86" s="77">
        <f>+D86+12</f>
        <v>300</v>
      </c>
      <c r="F86" s="77">
        <f>+E86+12</f>
        <v>312</v>
      </c>
      <c r="G86" s="77">
        <f>+F86+12</f>
        <v>324</v>
      </c>
      <c r="H86" s="77">
        <f t="shared" ref="H86:K86" si="20">+G86+12</f>
        <v>336</v>
      </c>
      <c r="I86" s="77">
        <f t="shared" si="20"/>
        <v>348</v>
      </c>
      <c r="J86" s="77">
        <f t="shared" si="20"/>
        <v>360</v>
      </c>
      <c r="K86" s="77">
        <f t="shared" si="20"/>
        <v>372</v>
      </c>
    </row>
    <row r="87" spans="1:12">
      <c r="A87" s="342"/>
      <c r="B87" s="252">
        <f t="shared" ref="B87:B89" si="21">B88-1</f>
        <v>1989</v>
      </c>
      <c r="C87" s="365"/>
      <c r="D87" s="365"/>
      <c r="E87" s="365"/>
      <c r="F87" s="365"/>
      <c r="G87" s="365"/>
      <c r="H87" s="365"/>
      <c r="I87" s="365"/>
      <c r="J87" s="365"/>
      <c r="K87" s="365"/>
    </row>
    <row r="88" spans="1:12">
      <c r="A88" s="342"/>
      <c r="B88" s="252">
        <f t="shared" si="21"/>
        <v>1990</v>
      </c>
      <c r="C88" s="365"/>
      <c r="D88" s="365"/>
      <c r="E88" s="365"/>
      <c r="F88" s="365"/>
      <c r="G88" s="365"/>
      <c r="H88" s="365"/>
      <c r="I88" s="365"/>
      <c r="J88" s="365"/>
      <c r="K88" s="448">
        <v>397.01615207272698</v>
      </c>
    </row>
    <row r="89" spans="1:12">
      <c r="A89" s="342"/>
      <c r="B89" s="252">
        <f t="shared" si="21"/>
        <v>1991</v>
      </c>
      <c r="C89" s="365"/>
      <c r="D89" s="365"/>
      <c r="E89" s="365"/>
      <c r="F89" s="365"/>
      <c r="G89" s="365"/>
      <c r="H89" s="365"/>
      <c r="I89" s="365"/>
      <c r="J89" s="448">
        <v>533.12216009479016</v>
      </c>
      <c r="K89" s="365">
        <v>461.10991182023236</v>
      </c>
    </row>
    <row r="90" spans="1:12">
      <c r="A90" s="342"/>
      <c r="B90" s="252">
        <f t="shared" ref="B90:B96" si="22">B91-1</f>
        <v>1992</v>
      </c>
      <c r="C90" s="365"/>
      <c r="D90" s="365"/>
      <c r="E90" s="365"/>
      <c r="F90" s="365"/>
      <c r="G90" s="365"/>
      <c r="H90" s="365"/>
      <c r="I90" s="448">
        <v>494.14241098356433</v>
      </c>
      <c r="J90" s="365">
        <v>426.92172770039076</v>
      </c>
      <c r="K90" s="365">
        <v>369.25465671707724</v>
      </c>
    </row>
    <row r="91" spans="1:12">
      <c r="A91" s="342"/>
      <c r="B91" s="252">
        <f t="shared" si="22"/>
        <v>1993</v>
      </c>
      <c r="C91" s="365"/>
      <c r="D91" s="365"/>
      <c r="E91" s="365"/>
      <c r="F91" s="365"/>
      <c r="G91" s="365"/>
      <c r="H91" s="448">
        <v>500.43015736798407</v>
      </c>
      <c r="I91" s="365">
        <v>429.66427210152716</v>
      </c>
      <c r="J91" s="365">
        <v>371.21487510371975</v>
      </c>
      <c r="K91" s="365">
        <v>321.07248795473112</v>
      </c>
    </row>
    <row r="92" spans="1:12">
      <c r="A92" s="342"/>
      <c r="B92" s="252">
        <f t="shared" si="22"/>
        <v>1994</v>
      </c>
      <c r="C92" s="365"/>
      <c r="D92" s="365"/>
      <c r="E92" s="365"/>
      <c r="F92" s="365"/>
      <c r="G92" s="448">
        <v>618.60609538888093</v>
      </c>
      <c r="H92" s="365">
        <v>531.5785934690756</v>
      </c>
      <c r="I92" s="365">
        <v>456.40800432355468</v>
      </c>
      <c r="J92" s="365">
        <v>394.32052260857307</v>
      </c>
      <c r="K92" s="365">
        <v>341.05710664253422</v>
      </c>
    </row>
    <row r="93" spans="1:12">
      <c r="A93" s="342"/>
      <c r="B93" s="252">
        <f t="shared" si="22"/>
        <v>1995</v>
      </c>
      <c r="C93" s="365"/>
      <c r="D93" s="365"/>
      <c r="E93" s="365"/>
      <c r="F93" s="448">
        <v>729.07948076116736</v>
      </c>
      <c r="G93" s="365">
        <v>644.39065371278866</v>
      </c>
      <c r="H93" s="365">
        <v>553.73569691376076</v>
      </c>
      <c r="I93" s="365">
        <v>475.43186925909333</v>
      </c>
      <c r="J93" s="365">
        <v>410.75647529203781</v>
      </c>
      <c r="K93" s="365">
        <v>355.27294920140741</v>
      </c>
    </row>
    <row r="94" spans="1:12">
      <c r="A94" s="342"/>
      <c r="B94" s="252">
        <f t="shared" si="22"/>
        <v>1996</v>
      </c>
      <c r="C94" s="365"/>
      <c r="D94" s="365"/>
      <c r="E94" s="448">
        <v>839.83987388490641</v>
      </c>
      <c r="F94" s="365">
        <v>736.09141219397929</v>
      </c>
      <c r="G94" s="365">
        <v>650.58808924486755</v>
      </c>
      <c r="H94" s="365">
        <v>559.06125721427293</v>
      </c>
      <c r="I94" s="365">
        <v>480.00434147397164</v>
      </c>
      <c r="J94" s="365">
        <v>414.70693106035037</v>
      </c>
      <c r="K94" s="365">
        <v>358.68979143256217</v>
      </c>
    </row>
    <row r="95" spans="1:12">
      <c r="A95" s="342"/>
      <c r="B95" s="252">
        <f t="shared" si="22"/>
        <v>1997</v>
      </c>
      <c r="C95" s="365"/>
      <c r="D95" s="448">
        <v>1032.4356689500419</v>
      </c>
      <c r="E95" s="365">
        <v>917.50453631203015</v>
      </c>
      <c r="F95" s="365">
        <v>804.16187755436147</v>
      </c>
      <c r="G95" s="365">
        <v>710.75158695614027</v>
      </c>
      <c r="H95" s="365">
        <v>610.7607599025439</v>
      </c>
      <c r="I95" s="365">
        <v>524.3930116280618</v>
      </c>
      <c r="J95" s="365">
        <v>453.05718663705147</v>
      </c>
      <c r="K95" s="365">
        <v>391.85983066730688</v>
      </c>
    </row>
    <row r="96" spans="1:12">
      <c r="A96" s="342"/>
      <c r="B96" s="252">
        <f t="shared" si="22"/>
        <v>1998</v>
      </c>
      <c r="C96" s="448">
        <v>1356.7996728958969</v>
      </c>
      <c r="D96" s="365">
        <v>1190.4504741709275</v>
      </c>
      <c r="E96" s="365">
        <v>1057.9290731183421</v>
      </c>
      <c r="F96" s="365">
        <v>927.23926268290916</v>
      </c>
      <c r="G96" s="365">
        <v>819.53247951046797</v>
      </c>
      <c r="H96" s="365">
        <v>704.23800542497702</v>
      </c>
      <c r="I96" s="365">
        <v>604.65162926752214</v>
      </c>
      <c r="J96" s="365">
        <v>522.39781991174345</v>
      </c>
      <c r="K96" s="365">
        <v>451.83417742709514</v>
      </c>
    </row>
    <row r="97" spans="1:13">
      <c r="A97" s="342"/>
      <c r="B97" s="252">
        <v>1999</v>
      </c>
      <c r="C97" s="365">
        <v>1280.9554380665757</v>
      </c>
      <c r="D97" s="365">
        <v>1123.9050532666108</v>
      </c>
      <c r="E97" s="365">
        <v>998.79151386237811</v>
      </c>
      <c r="F97" s="365">
        <v>875.40718033003759</v>
      </c>
      <c r="G97" s="365">
        <v>773.72113752098846</v>
      </c>
      <c r="H97" s="365">
        <v>664.87155087300653</v>
      </c>
      <c r="I97" s="365">
        <v>570.85198951509108</v>
      </c>
      <c r="J97" s="365">
        <v>493.19611554875036</v>
      </c>
      <c r="K97" s="365">
        <v>426.57693559451752</v>
      </c>
    </row>
    <row r="98" spans="1:13">
      <c r="A98" s="354"/>
      <c r="B98" s="252" t="s">
        <v>425</v>
      </c>
      <c r="C98" s="365"/>
      <c r="D98" s="365"/>
      <c r="E98" s="365"/>
      <c r="F98" s="365"/>
      <c r="G98" s="365"/>
      <c r="H98" s="365"/>
      <c r="I98" s="365"/>
      <c r="J98" s="365"/>
      <c r="K98" s="365"/>
    </row>
    <row r="99" spans="1:13">
      <c r="A99" s="354"/>
      <c r="B99" s="252">
        <f>B100-1</f>
        <v>2019</v>
      </c>
      <c r="C99" s="365">
        <v>392.05093048287569</v>
      </c>
      <c r="D99" s="365">
        <v>343.98388016732844</v>
      </c>
      <c r="E99" s="365">
        <v>305.69146336517099</v>
      </c>
      <c r="F99" s="365">
        <v>267.92828961934924</v>
      </c>
      <c r="G99" s="365">
        <v>236.80612368313072</v>
      </c>
      <c r="H99" s="365">
        <v>203.49147396164705</v>
      </c>
      <c r="I99" s="365">
        <v>174.71572156732617</v>
      </c>
      <c r="J99" s="365">
        <v>150.94826116923659</v>
      </c>
      <c r="K99" s="365">
        <v>130.55870606614511</v>
      </c>
    </row>
    <row r="100" spans="1:13">
      <c r="B100" s="252">
        <f>'Exhibits 2.5.3 - 2.5.8'!$C$21</f>
        <v>2020</v>
      </c>
      <c r="C100" s="365">
        <v>336.20937503928332</v>
      </c>
      <c r="D100" s="365">
        <v>294.98872820478283</v>
      </c>
      <c r="E100" s="365">
        <v>262.15047041531574</v>
      </c>
      <c r="F100" s="365">
        <v>229.76607324287448</v>
      </c>
      <c r="G100" s="365">
        <v>203.07677563963381</v>
      </c>
      <c r="H100" s="365">
        <v>174.50727945525503</v>
      </c>
      <c r="I100" s="365">
        <v>149.8301852908213</v>
      </c>
      <c r="J100" s="365">
        <v>129.44802984772474</v>
      </c>
      <c r="K100" s="365">
        <v>111.96264964445331</v>
      </c>
    </row>
    <row r="101" spans="1:13">
      <c r="B101" s="252"/>
      <c r="C101" s="267"/>
      <c r="D101" s="267"/>
      <c r="E101" s="267"/>
      <c r="F101" s="267"/>
      <c r="G101" s="267"/>
      <c r="H101" s="267"/>
      <c r="I101" s="267"/>
      <c r="J101" s="267"/>
      <c r="K101" s="267"/>
      <c r="L101" s="267"/>
    </row>
    <row r="102" spans="1:13">
      <c r="B102" s="252"/>
      <c r="C102" s="267"/>
      <c r="D102" s="267"/>
      <c r="E102" s="267"/>
      <c r="F102" s="267"/>
      <c r="G102" s="267"/>
      <c r="H102" s="267"/>
      <c r="I102" s="267"/>
      <c r="J102" s="267"/>
      <c r="K102" s="267"/>
      <c r="L102" s="267"/>
    </row>
    <row r="103" spans="1:13">
      <c r="B103" s="252"/>
      <c r="C103" s="267"/>
      <c r="D103" s="267"/>
      <c r="E103" s="267"/>
      <c r="F103" s="267"/>
      <c r="G103" s="267"/>
      <c r="H103" s="267"/>
      <c r="I103" s="267"/>
      <c r="J103" s="267"/>
      <c r="K103" s="267"/>
      <c r="L103" s="267"/>
    </row>
    <row r="104" spans="1:13">
      <c r="A104" s="351" t="s">
        <v>38</v>
      </c>
      <c r="B104" s="349" t="s">
        <v>421</v>
      </c>
    </row>
    <row r="105" spans="1:13">
      <c r="B105" s="349" t="s">
        <v>422</v>
      </c>
    </row>
    <row r="106" spans="1:13">
      <c r="A106" s="351" t="s">
        <v>57</v>
      </c>
      <c r="B106" s="349" t="s">
        <v>420</v>
      </c>
    </row>
    <row r="107" spans="1:13">
      <c r="A107" s="351" t="s">
        <v>41</v>
      </c>
      <c r="B107" s="349" t="s">
        <v>447</v>
      </c>
    </row>
    <row r="108" spans="1:13">
      <c r="A108" s="351"/>
      <c r="B108" s="349" t="s">
        <v>448</v>
      </c>
    </row>
    <row r="109" spans="1:13">
      <c r="A109" s="351"/>
      <c r="B109" s="349" t="s">
        <v>449</v>
      </c>
    </row>
    <row r="111" spans="1:13">
      <c r="B111" s="349" t="s">
        <v>286</v>
      </c>
    </row>
    <row r="112" spans="1:13">
      <c r="A112" s="349"/>
      <c r="B112" s="349"/>
      <c r="C112" s="349"/>
      <c r="D112" s="349"/>
      <c r="E112" s="349"/>
      <c r="F112" s="349"/>
      <c r="G112" s="349"/>
      <c r="H112" s="349"/>
      <c r="I112" s="349"/>
      <c r="J112" s="349"/>
      <c r="K112" s="349"/>
      <c r="L112" s="349"/>
      <c r="M112" s="143" t="s">
        <v>408</v>
      </c>
    </row>
    <row r="113" spans="1:13">
      <c r="A113" s="245" t="str">
        <f>A2</f>
        <v>Paid Loss Development Factors</v>
      </c>
      <c r="B113" s="245"/>
      <c r="C113" s="245"/>
      <c r="D113" s="245"/>
      <c r="E113" s="245"/>
      <c r="F113" s="245"/>
      <c r="G113" s="245"/>
      <c r="H113" s="245"/>
      <c r="I113" s="245"/>
      <c r="J113" s="245"/>
      <c r="K113" s="245"/>
      <c r="L113" s="245"/>
      <c r="M113" s="245"/>
    </row>
    <row r="114" spans="1:13">
      <c r="A114" s="245" t="str">
        <f>A3</f>
        <v>Adjusted for the Impact of Claim Settlement Rate</v>
      </c>
      <c r="B114" s="245"/>
      <c r="C114" s="245"/>
      <c r="D114" s="245"/>
      <c r="E114" s="245"/>
      <c r="F114" s="245"/>
      <c r="G114" s="245"/>
      <c r="H114" s="245"/>
      <c r="I114" s="245"/>
      <c r="J114" s="245"/>
      <c r="K114" s="245"/>
      <c r="L114" s="245"/>
      <c r="M114" s="245"/>
    </row>
    <row r="115" spans="1:13">
      <c r="A115" s="245" t="str">
        <f>A4</f>
        <v>Changes on Later Period Development</v>
      </c>
      <c r="B115" s="245"/>
      <c r="C115" s="245"/>
      <c r="D115" s="245"/>
      <c r="E115" s="245"/>
      <c r="F115" s="245"/>
      <c r="G115" s="245"/>
      <c r="H115" s="245"/>
      <c r="I115" s="245"/>
      <c r="J115" s="245"/>
      <c r="K115" s="245"/>
      <c r="L115" s="245"/>
      <c r="M115" s="245"/>
    </row>
    <row r="116" spans="1:13">
      <c r="A116" s="245"/>
      <c r="B116" s="245"/>
      <c r="C116" s="245"/>
      <c r="D116" s="245"/>
      <c r="E116" s="245"/>
      <c r="F116" s="245"/>
      <c r="G116" s="245"/>
      <c r="H116" s="245"/>
      <c r="I116" s="245"/>
      <c r="J116" s="245"/>
      <c r="K116" s="245"/>
      <c r="L116" s="245"/>
      <c r="M116" s="245"/>
    </row>
    <row r="117" spans="1:13">
      <c r="A117" s="245"/>
      <c r="B117" s="245"/>
      <c r="C117" s="245"/>
      <c r="D117" s="245"/>
      <c r="E117" s="245"/>
      <c r="F117" s="245"/>
      <c r="G117" s="245"/>
      <c r="H117" s="245"/>
      <c r="I117" s="245"/>
      <c r="J117" s="245"/>
      <c r="K117" s="245"/>
      <c r="L117" s="245"/>
      <c r="M117" s="245"/>
    </row>
    <row r="118" spans="1:13">
      <c r="A118" s="349"/>
      <c r="B118" s="349"/>
      <c r="C118" s="349"/>
      <c r="D118" s="349"/>
      <c r="E118" s="349"/>
      <c r="F118" s="349"/>
      <c r="G118" s="349"/>
      <c r="H118" s="349"/>
      <c r="I118" s="349"/>
      <c r="J118" s="349"/>
      <c r="K118" s="349"/>
      <c r="L118" s="349"/>
      <c r="M118" s="349"/>
    </row>
    <row r="119" spans="1:13">
      <c r="A119" s="343" t="s">
        <v>429</v>
      </c>
      <c r="B119" s="343"/>
      <c r="C119" s="343"/>
      <c r="D119" s="343"/>
      <c r="E119" s="343"/>
      <c r="F119" s="343"/>
      <c r="G119" s="343"/>
      <c r="H119" s="343"/>
      <c r="I119" s="343"/>
      <c r="J119" s="343"/>
      <c r="K119" s="343"/>
      <c r="L119" s="343"/>
      <c r="M119" s="349"/>
    </row>
    <row r="120" spans="1:13">
      <c r="A120" s="342"/>
      <c r="B120" s="342"/>
      <c r="C120" s="342"/>
      <c r="D120" s="342"/>
      <c r="E120" s="342"/>
      <c r="F120" s="342"/>
      <c r="G120" s="342"/>
      <c r="H120" s="342"/>
      <c r="I120" s="342"/>
      <c r="J120" s="342"/>
      <c r="K120" s="342"/>
      <c r="L120" s="342"/>
      <c r="M120" s="349"/>
    </row>
    <row r="121" spans="1:13">
      <c r="A121" s="342"/>
      <c r="B121" s="252" t="s">
        <v>203</v>
      </c>
      <c r="C121" s="346" t="s">
        <v>308</v>
      </c>
      <c r="D121" s="350"/>
      <c r="E121" s="350"/>
      <c r="F121" s="350"/>
      <c r="G121" s="350"/>
      <c r="H121" s="350"/>
      <c r="I121" s="350"/>
      <c r="J121" s="350"/>
      <c r="K121" s="350"/>
      <c r="M121" s="349"/>
    </row>
    <row r="122" spans="1:13">
      <c r="A122" s="342"/>
      <c r="B122" s="26" t="s">
        <v>8</v>
      </c>
      <c r="C122" s="77">
        <f>C$11</f>
        <v>276</v>
      </c>
      <c r="D122" s="77">
        <f>+C122+12</f>
        <v>288</v>
      </c>
      <c r="E122" s="77">
        <f>+D122+12</f>
        <v>300</v>
      </c>
      <c r="F122" s="77">
        <f>+E122+12</f>
        <v>312</v>
      </c>
      <c r="G122" s="77">
        <f>+F122+12</f>
        <v>324</v>
      </c>
      <c r="H122" s="77">
        <f t="shared" ref="H122:K122" si="23">+G122+12</f>
        <v>336</v>
      </c>
      <c r="I122" s="77">
        <f t="shared" si="23"/>
        <v>348</v>
      </c>
      <c r="J122" s="77">
        <f t="shared" si="23"/>
        <v>360</v>
      </c>
      <c r="K122" s="77">
        <f t="shared" si="23"/>
        <v>372</v>
      </c>
      <c r="M122" s="349"/>
    </row>
    <row r="123" spans="1:13">
      <c r="A123" s="342"/>
      <c r="B123" s="252">
        <f t="shared" ref="B123:B125" si="24">B124-1</f>
        <v>1989</v>
      </c>
      <c r="C123" s="365"/>
      <c r="D123" s="365"/>
      <c r="E123" s="365"/>
      <c r="F123" s="365"/>
      <c r="G123" s="365"/>
      <c r="H123" s="365"/>
      <c r="I123" s="365"/>
      <c r="J123" s="453">
        <v>2.5361806439446136E-3</v>
      </c>
      <c r="K123" s="453">
        <v>2.2674774902181252E-3</v>
      </c>
      <c r="M123" s="349"/>
    </row>
    <row r="124" spans="1:13">
      <c r="A124" s="342"/>
      <c r="B124" s="252">
        <f t="shared" si="24"/>
        <v>1990</v>
      </c>
      <c r="C124" s="365"/>
      <c r="D124" s="365"/>
      <c r="E124" s="365"/>
      <c r="F124" s="365"/>
      <c r="G124" s="365"/>
      <c r="H124" s="365"/>
      <c r="I124" s="453">
        <v>2.3829060008938945E-3</v>
      </c>
      <c r="J124" s="453">
        <v>2.0431152324004763E-3</v>
      </c>
      <c r="K124" s="453">
        <v>1.707625612875206E-3</v>
      </c>
      <c r="M124" s="349"/>
    </row>
    <row r="125" spans="1:13">
      <c r="A125" s="342"/>
      <c r="B125" s="252">
        <f t="shared" si="24"/>
        <v>1991</v>
      </c>
      <c r="C125" s="365"/>
      <c r="D125" s="365"/>
      <c r="E125" s="365"/>
      <c r="F125" s="365"/>
      <c r="G125" s="365"/>
      <c r="H125" s="453">
        <v>3.0093040476172864E-3</v>
      </c>
      <c r="I125" s="453">
        <v>2.6107049257912151E-3</v>
      </c>
      <c r="J125" s="453">
        <v>2.2849680090301248E-3</v>
      </c>
      <c r="K125" s="446">
        <v>1.9763226442671162E-3</v>
      </c>
      <c r="M125" s="349"/>
    </row>
    <row r="126" spans="1:13">
      <c r="A126" s="342"/>
      <c r="B126" s="252">
        <f t="shared" ref="B126:B131" si="25">B127-1</f>
        <v>1992</v>
      </c>
      <c r="C126" s="365"/>
      <c r="D126" s="365"/>
      <c r="E126" s="365"/>
      <c r="F126" s="365"/>
      <c r="G126" s="453">
        <v>3.5134739354568492E-3</v>
      </c>
      <c r="H126" s="453">
        <v>3.0784647021073449E-3</v>
      </c>
      <c r="I126" s="453">
        <v>2.6869563920929491E-3</v>
      </c>
      <c r="J126" s="446">
        <v>2.3214361683399098E-3</v>
      </c>
      <c r="K126" s="446">
        <v>2.0078648141153765E-3</v>
      </c>
      <c r="M126" s="349"/>
    </row>
    <row r="127" spans="1:13">
      <c r="A127" s="342"/>
      <c r="B127" s="252">
        <f t="shared" si="25"/>
        <v>1993</v>
      </c>
      <c r="C127" s="365"/>
      <c r="D127" s="365"/>
      <c r="E127" s="365"/>
      <c r="F127" s="453">
        <v>4.6379650593122539E-3</v>
      </c>
      <c r="G127" s="453">
        <v>4.1106319630682415E-3</v>
      </c>
      <c r="H127" s="453">
        <v>3.4722813728781218E-3</v>
      </c>
      <c r="I127" s="446">
        <v>2.9812656704306319E-3</v>
      </c>
      <c r="J127" s="446">
        <v>2.5757090718457735E-3</v>
      </c>
      <c r="K127" s="446">
        <v>2.2277914367360083E-3</v>
      </c>
      <c r="M127" s="349"/>
    </row>
    <row r="128" spans="1:13">
      <c r="A128" s="342"/>
      <c r="B128" s="252">
        <f t="shared" si="25"/>
        <v>1994</v>
      </c>
      <c r="C128" s="365"/>
      <c r="D128" s="365"/>
      <c r="E128" s="453">
        <v>5.9706218108082857E-3</v>
      </c>
      <c r="F128" s="453">
        <v>5.3626202338498789E-3</v>
      </c>
      <c r="G128" s="453">
        <v>4.7014185189073812E-3</v>
      </c>
      <c r="H128" s="446">
        <v>4.0400077888323562E-3</v>
      </c>
      <c r="I128" s="446">
        <v>3.468709829565137E-3</v>
      </c>
      <c r="J128" s="446">
        <v>2.9968437446639884E-3</v>
      </c>
      <c r="K128" s="446">
        <v>2.5920407333946244E-3</v>
      </c>
      <c r="M128" s="349"/>
    </row>
    <row r="129" spans="1:13">
      <c r="A129" s="342"/>
      <c r="B129" s="252">
        <f t="shared" si="25"/>
        <v>1995</v>
      </c>
      <c r="C129" s="365"/>
      <c r="D129" s="453">
        <v>7.8283347726888896E-3</v>
      </c>
      <c r="E129" s="453">
        <v>6.9414137778164003E-3</v>
      </c>
      <c r="F129" s="453">
        <v>5.9324394350257978E-3</v>
      </c>
      <c r="G129" s="446">
        <v>5.243335776857613E-3</v>
      </c>
      <c r="H129" s="446">
        <v>4.505686378010674E-3</v>
      </c>
      <c r="I129" s="446">
        <v>3.8685367566730459E-3</v>
      </c>
      <c r="J129" s="446">
        <v>3.342280199232394E-3</v>
      </c>
      <c r="K129" s="446">
        <v>2.8908168583210584E-3</v>
      </c>
      <c r="M129" s="349"/>
    </row>
    <row r="130" spans="1:13">
      <c r="A130" s="342"/>
      <c r="B130" s="252">
        <f t="shared" si="25"/>
        <v>1996</v>
      </c>
      <c r="C130" s="453">
        <v>8.9018643407218993E-3</v>
      </c>
      <c r="D130" s="453">
        <v>7.8787974794214902E-3</v>
      </c>
      <c r="E130" s="453">
        <v>7.1009284609120874E-3</v>
      </c>
      <c r="F130" s="446">
        <v>6.2237250471361989E-3</v>
      </c>
      <c r="G130" s="446">
        <v>5.5007860699436122E-3</v>
      </c>
      <c r="H130" s="446">
        <v>4.7269177329989E-3</v>
      </c>
      <c r="I130" s="446">
        <v>4.0584837606805445E-3</v>
      </c>
      <c r="J130" s="446">
        <v>3.5063877547060972E-3</v>
      </c>
      <c r="K130" s="446">
        <v>3.0327573479455349E-3</v>
      </c>
      <c r="M130" s="349"/>
    </row>
    <row r="131" spans="1:13">
      <c r="A131" s="342"/>
      <c r="B131" s="252">
        <f t="shared" si="25"/>
        <v>1997</v>
      </c>
      <c r="C131" s="453">
        <v>9.7178334295711325E-3</v>
      </c>
      <c r="D131" s="453">
        <v>8.3787698310354396E-3</v>
      </c>
      <c r="E131" s="446">
        <v>7.4460419761624768E-3</v>
      </c>
      <c r="F131" s="446">
        <v>6.5262054397767387E-3</v>
      </c>
      <c r="G131" s="446">
        <v>5.7681307739057162E-3</v>
      </c>
      <c r="H131" s="446">
        <v>4.9566515212090562E-3</v>
      </c>
      <c r="I131" s="446">
        <v>4.2557308678644939E-3</v>
      </c>
      <c r="J131" s="446">
        <v>3.676802343519193E-3</v>
      </c>
      <c r="K131" s="446">
        <v>3.1801529392421267E-3</v>
      </c>
      <c r="M131" s="349"/>
    </row>
    <row r="132" spans="1:13">
      <c r="A132" s="342"/>
      <c r="B132" s="252">
        <f>$B$21</f>
        <v>1998</v>
      </c>
      <c r="C132" s="453">
        <v>1.0180008495040692E-2</v>
      </c>
      <c r="D132" s="446">
        <v>8.9318977459062962E-3</v>
      </c>
      <c r="E132" s="446">
        <v>7.937595480480026E-3</v>
      </c>
      <c r="F132" s="446">
        <v>6.9570355591997051E-3</v>
      </c>
      <c r="G132" s="446">
        <v>6.1489162844295935E-3</v>
      </c>
      <c r="H132" s="446">
        <v>5.2838668972076362E-3</v>
      </c>
      <c r="I132" s="446">
        <v>4.5366746804602542E-3</v>
      </c>
      <c r="J132" s="446">
        <v>3.9195279529672476E-3</v>
      </c>
      <c r="K132" s="446">
        <v>3.3900920352819622E-3</v>
      </c>
      <c r="M132" s="349"/>
    </row>
    <row r="133" spans="1:13">
      <c r="A133" s="342"/>
      <c r="B133" s="252">
        <f>$B$22</f>
        <v>1999</v>
      </c>
      <c r="C133" s="446">
        <v>9.4817872271440225E-3</v>
      </c>
      <c r="D133" s="446">
        <v>8.3192812660764157E-3</v>
      </c>
      <c r="E133" s="446">
        <v>7.3931757009551274E-3</v>
      </c>
      <c r="F133" s="446">
        <v>6.4798699270380957E-3</v>
      </c>
      <c r="G133" s="446">
        <v>5.7271775278856822E-3</v>
      </c>
      <c r="H133" s="446">
        <v>4.9214597100070709E-3</v>
      </c>
      <c r="I133" s="446">
        <v>4.2255155346728208E-3</v>
      </c>
      <c r="J133" s="446">
        <v>3.6506973544259552E-3</v>
      </c>
      <c r="K133" s="446">
        <v>3.1575741193770684E-3</v>
      </c>
      <c r="M133" s="349"/>
    </row>
    <row r="134" spans="1:13">
      <c r="A134" s="354"/>
      <c r="B134" s="252" t="s">
        <v>425</v>
      </c>
      <c r="C134" s="446"/>
      <c r="D134" s="446"/>
      <c r="E134" s="446"/>
      <c r="F134" s="446"/>
      <c r="G134" s="446"/>
      <c r="H134" s="446"/>
      <c r="I134" s="446"/>
      <c r="J134" s="446"/>
      <c r="K134" s="446"/>
      <c r="M134" s="349"/>
    </row>
    <row r="135" spans="1:13">
      <c r="A135" s="354"/>
      <c r="B135" s="252">
        <f>B136-1</f>
        <v>2019</v>
      </c>
      <c r="C135" s="446">
        <v>2.5240129972757103E-3</v>
      </c>
      <c r="D135" s="446">
        <v>2.2145586628918618E-3</v>
      </c>
      <c r="E135" s="446">
        <v>1.9680331474780785E-3</v>
      </c>
      <c r="F135" s="446">
        <v>1.7249148841559151E-3</v>
      </c>
      <c r="G135" s="446">
        <v>1.5245512445909327E-3</v>
      </c>
      <c r="H135" s="446">
        <v>1.3100724553347873E-3</v>
      </c>
      <c r="I135" s="446">
        <v>1.1248149609572144E-3</v>
      </c>
      <c r="J135" s="446">
        <v>9.7180071129550089E-4</v>
      </c>
      <c r="K135" s="446">
        <v>8.4053332206755955E-4</v>
      </c>
      <c r="M135" s="349"/>
    </row>
    <row r="136" spans="1:13">
      <c r="A136" s="342"/>
      <c r="B136" s="252">
        <f>$B$100</f>
        <v>2020</v>
      </c>
      <c r="C136" s="446">
        <v>2.473528172349056E-3</v>
      </c>
      <c r="D136" s="446">
        <v>2.1702634843382752E-3</v>
      </c>
      <c r="E136" s="446">
        <v>1.9286689251038186E-3</v>
      </c>
      <c r="F136" s="446">
        <v>1.6904134667567244E-3</v>
      </c>
      <c r="G136" s="446">
        <v>1.4940574623647873E-3</v>
      </c>
      <c r="H136" s="446">
        <v>1.2838686368044565E-3</v>
      </c>
      <c r="I136" s="446">
        <v>1.1023166273748997E-3</v>
      </c>
      <c r="J136" s="446">
        <v>9.523629394510984E-4</v>
      </c>
      <c r="K136" s="446">
        <v>8.2372113542058059E-4</v>
      </c>
      <c r="M136" s="349"/>
    </row>
    <row r="137" spans="1:13">
      <c r="B137" s="56"/>
      <c r="C137" s="77"/>
      <c r="D137" s="77"/>
      <c r="E137" s="77"/>
      <c r="F137" s="77"/>
      <c r="G137" s="77"/>
      <c r="H137" s="77"/>
      <c r="I137" s="77"/>
      <c r="J137" s="77"/>
      <c r="K137" s="77"/>
    </row>
    <row r="138" spans="1:13">
      <c r="B138" s="56" t="s">
        <v>409</v>
      </c>
      <c r="C138" s="449">
        <f>AVERAGE(C130:C132)</f>
        <v>9.5999020884445733E-3</v>
      </c>
      <c r="D138" s="449">
        <f>AVERAGE(D129:D131)</f>
        <v>8.0286340277152726E-3</v>
      </c>
      <c r="E138" s="449">
        <f>AVERAGE(E128:E130)</f>
        <v>6.6709880165122569E-3</v>
      </c>
      <c r="F138" s="449">
        <f>AVERAGE(F127:F129)</f>
        <v>5.3110082427293105E-3</v>
      </c>
      <c r="G138" s="449">
        <f>AVERAGE(G126:G128)</f>
        <v>4.1085081391441574E-3</v>
      </c>
      <c r="H138" s="449">
        <f>AVERAGE(H125:H127)</f>
        <v>3.1866833742009177E-3</v>
      </c>
      <c r="I138" s="449">
        <f>AVERAGE(I124:I126)</f>
        <v>2.5601891062593529E-3</v>
      </c>
      <c r="J138" s="449">
        <f>AVERAGE(J123:J125)</f>
        <v>2.2880879617917381E-3</v>
      </c>
      <c r="K138" s="449">
        <f>AVERAGE(K123:K124)</f>
        <v>1.9875515515466657E-3</v>
      </c>
    </row>
    <row r="141" spans="1:13">
      <c r="A141" s="345" t="s">
        <v>430</v>
      </c>
      <c r="B141" s="345"/>
      <c r="C141" s="345"/>
      <c r="D141" s="345"/>
      <c r="E141" s="345"/>
      <c r="F141" s="345"/>
      <c r="G141" s="345"/>
      <c r="H141" s="345"/>
      <c r="I141" s="345"/>
      <c r="J141" s="345"/>
      <c r="K141" s="345"/>
      <c r="L141" s="345"/>
    </row>
    <row r="142" spans="1:13">
      <c r="A142" s="344"/>
      <c r="B142" s="344"/>
      <c r="C142" s="344"/>
      <c r="D142" s="344"/>
      <c r="E142" s="344"/>
      <c r="F142" s="344"/>
      <c r="G142" s="344"/>
      <c r="H142" s="344"/>
      <c r="I142" s="344"/>
      <c r="J142" s="344"/>
      <c r="K142" s="344"/>
      <c r="L142" s="344"/>
    </row>
    <row r="143" spans="1:13">
      <c r="A143" s="344"/>
      <c r="B143" s="252" t="s">
        <v>203</v>
      </c>
      <c r="C143" s="346" t="s">
        <v>308</v>
      </c>
      <c r="D143" s="350"/>
      <c r="E143" s="350"/>
      <c r="F143" s="350"/>
      <c r="G143" s="350"/>
      <c r="H143" s="350"/>
      <c r="I143" s="350"/>
      <c r="J143" s="350"/>
      <c r="K143" s="350"/>
    </row>
    <row r="144" spans="1:13">
      <c r="A144" s="344"/>
      <c r="B144" s="26" t="s">
        <v>8</v>
      </c>
      <c r="C144" s="77">
        <f>C$11</f>
        <v>276</v>
      </c>
      <c r="D144" s="77">
        <f>+C144+12</f>
        <v>288</v>
      </c>
      <c r="E144" s="77">
        <f>+D144+12</f>
        <v>300</v>
      </c>
      <c r="F144" s="77">
        <f>+E144+12</f>
        <v>312</v>
      </c>
      <c r="G144" s="77">
        <f>+F144+12</f>
        <v>324</v>
      </c>
      <c r="H144" s="77">
        <f t="shared" ref="H144" si="26">+G144+12</f>
        <v>336</v>
      </c>
      <c r="I144" s="77">
        <f t="shared" ref="I144" si="27">+H144+12</f>
        <v>348</v>
      </c>
      <c r="J144" s="77">
        <f t="shared" ref="J144" si="28">+I144+12</f>
        <v>360</v>
      </c>
      <c r="K144" s="77">
        <f t="shared" ref="K144" si="29">+J144+12</f>
        <v>372</v>
      </c>
    </row>
    <row r="145" spans="1:11">
      <c r="A145" s="344"/>
      <c r="B145" s="252">
        <f t="shared" ref="B145:B153" si="30">B146-1</f>
        <v>1989</v>
      </c>
      <c r="C145" s="352"/>
      <c r="D145" s="352"/>
      <c r="E145" s="352"/>
      <c r="F145" s="352"/>
      <c r="G145" s="352"/>
      <c r="H145" s="352"/>
      <c r="I145" s="352"/>
      <c r="J145" s="352"/>
      <c r="K145" s="352"/>
    </row>
    <row r="146" spans="1:11">
      <c r="A146" s="344"/>
      <c r="B146" s="252">
        <f t="shared" si="30"/>
        <v>1990</v>
      </c>
      <c r="C146" s="352"/>
      <c r="D146" s="352"/>
      <c r="E146" s="352"/>
      <c r="F146" s="352"/>
      <c r="G146" s="352"/>
      <c r="H146" s="352"/>
      <c r="I146" s="352"/>
      <c r="J146" s="352"/>
      <c r="K146" s="352"/>
    </row>
    <row r="147" spans="1:11">
      <c r="A147" s="344"/>
      <c r="B147" s="252">
        <f t="shared" si="30"/>
        <v>1991</v>
      </c>
      <c r="C147" s="352"/>
      <c r="D147" s="352"/>
      <c r="E147" s="352"/>
      <c r="F147" s="352"/>
      <c r="G147" s="352"/>
      <c r="H147" s="352"/>
      <c r="I147" s="352"/>
      <c r="J147" s="352"/>
      <c r="K147" s="450">
        <f t="shared" ref="D147:K155" si="31">K125/K$138</f>
        <v>0.99435038187019031</v>
      </c>
    </row>
    <row r="148" spans="1:11">
      <c r="A148" s="344"/>
      <c r="B148" s="252">
        <f t="shared" si="30"/>
        <v>1992</v>
      </c>
      <c r="C148" s="352"/>
      <c r="D148" s="352"/>
      <c r="E148" s="352"/>
      <c r="F148" s="352"/>
      <c r="G148" s="352"/>
      <c r="H148" s="352"/>
      <c r="I148" s="352"/>
      <c r="J148" s="450">
        <f t="shared" si="31"/>
        <v>1.014574704777546</v>
      </c>
      <c r="K148" s="450">
        <f t="shared" si="31"/>
        <v>1.0102202443770092</v>
      </c>
    </row>
    <row r="149" spans="1:11">
      <c r="A149" s="344"/>
      <c r="B149" s="252">
        <f t="shared" si="30"/>
        <v>1993</v>
      </c>
      <c r="C149" s="352"/>
      <c r="D149" s="352"/>
      <c r="E149" s="352"/>
      <c r="F149" s="352"/>
      <c r="G149" s="352"/>
      <c r="H149" s="352"/>
      <c r="I149" s="450">
        <f t="shared" si="31"/>
        <v>1.1644708834756767</v>
      </c>
      <c r="J149" s="450">
        <f t="shared" si="31"/>
        <v>1.1257036944632177</v>
      </c>
      <c r="K149" s="450">
        <f t="shared" si="31"/>
        <v>1.1208722787604646</v>
      </c>
    </row>
    <row r="150" spans="1:11">
      <c r="A150" s="344"/>
      <c r="B150" s="252">
        <f t="shared" si="30"/>
        <v>1994</v>
      </c>
      <c r="C150" s="352"/>
      <c r="D150" s="352"/>
      <c r="E150" s="352"/>
      <c r="F150" s="352"/>
      <c r="G150" s="352"/>
      <c r="H150" s="450">
        <f t="shared" si="31"/>
        <v>1.267778224074557</v>
      </c>
      <c r="I150" s="450">
        <f t="shared" si="31"/>
        <v>1.3548646938167812</v>
      </c>
      <c r="J150" s="450">
        <f t="shared" si="31"/>
        <v>1.3097589754885313</v>
      </c>
      <c r="K150" s="450">
        <f t="shared" si="31"/>
        <v>1.3041376116144305</v>
      </c>
    </row>
    <row r="151" spans="1:11">
      <c r="A151" s="344"/>
      <c r="B151" s="252">
        <f t="shared" si="30"/>
        <v>1995</v>
      </c>
      <c r="C151" s="352"/>
      <c r="D151" s="352"/>
      <c r="E151" s="352"/>
      <c r="F151" s="352"/>
      <c r="G151" s="450">
        <f t="shared" si="31"/>
        <v>1.276214041515773</v>
      </c>
      <c r="H151" s="450">
        <f t="shared" si="31"/>
        <v>1.4139109063951185</v>
      </c>
      <c r="I151" s="450">
        <f t="shared" si="31"/>
        <v>1.5110355509344764</v>
      </c>
      <c r="J151" s="450">
        <f t="shared" si="31"/>
        <v>1.4607306428093556</v>
      </c>
      <c r="K151" s="450">
        <f t="shared" si="31"/>
        <v>1.4544613225611647</v>
      </c>
    </row>
    <row r="152" spans="1:11">
      <c r="A152" s="344"/>
      <c r="B152" s="252">
        <f t="shared" si="30"/>
        <v>1996</v>
      </c>
      <c r="C152" s="352"/>
      <c r="D152" s="352"/>
      <c r="E152" s="352"/>
      <c r="F152" s="450">
        <f t="shared" si="31"/>
        <v>1.1718537728982785</v>
      </c>
      <c r="G152" s="450">
        <f t="shared" si="31"/>
        <v>1.3388767610156129</v>
      </c>
      <c r="H152" s="450">
        <f t="shared" si="31"/>
        <v>1.4833346077829921</v>
      </c>
      <c r="I152" s="450">
        <f t="shared" si="31"/>
        <v>1.5852281187971788</v>
      </c>
      <c r="J152" s="450">
        <f t="shared" si="31"/>
        <v>1.532453215636143</v>
      </c>
      <c r="K152" s="450">
        <f t="shared" si="31"/>
        <v>1.5258760687668778</v>
      </c>
    </row>
    <row r="153" spans="1:11">
      <c r="A153" s="344"/>
      <c r="B153" s="252">
        <f t="shared" si="30"/>
        <v>1997</v>
      </c>
      <c r="C153" s="352"/>
      <c r="D153" s="352"/>
      <c r="E153" s="450">
        <f t="shared" si="31"/>
        <v>1.1161827839791916</v>
      </c>
      <c r="F153" s="450">
        <f t="shared" si="31"/>
        <v>1.2288072511864419</v>
      </c>
      <c r="G153" s="450">
        <f t="shared" si="31"/>
        <v>1.4039477539181107</v>
      </c>
      <c r="H153" s="450">
        <f t="shared" si="31"/>
        <v>1.555426422762183</v>
      </c>
      <c r="I153" s="450">
        <f t="shared" si="31"/>
        <v>1.6622720788318903</v>
      </c>
      <c r="J153" s="450">
        <f t="shared" si="31"/>
        <v>1.6069322530065633</v>
      </c>
      <c r="K153" s="450">
        <f t="shared" si="31"/>
        <v>1.6000354490264199</v>
      </c>
    </row>
    <row r="154" spans="1:11">
      <c r="A154" s="344"/>
      <c r="B154" s="252">
        <f>$B$21</f>
        <v>1998</v>
      </c>
      <c r="C154" s="352"/>
      <c r="D154" s="450">
        <f t="shared" si="31"/>
        <v>1.1125052798611705</v>
      </c>
      <c r="E154" s="450">
        <f t="shared" si="31"/>
        <v>1.1898680466570497</v>
      </c>
      <c r="F154" s="450">
        <f t="shared" si="31"/>
        <v>1.3099274640975715</v>
      </c>
      <c r="G154" s="450">
        <f t="shared" si="31"/>
        <v>1.4966299386984963</v>
      </c>
      <c r="H154" s="450">
        <f t="shared" si="31"/>
        <v>1.6581085337769403</v>
      </c>
      <c r="I154" s="450">
        <f t="shared" si="31"/>
        <v>1.7720076495008252</v>
      </c>
      <c r="J154" s="450">
        <f t="shared" si="31"/>
        <v>1.7130145424557779</v>
      </c>
      <c r="K154" s="450">
        <f t="shared" si="31"/>
        <v>1.7056624431421024</v>
      </c>
    </row>
    <row r="155" spans="1:11">
      <c r="A155" s="344"/>
      <c r="B155" s="252">
        <f>$B$22</f>
        <v>1999</v>
      </c>
      <c r="C155" s="450">
        <f>C133/C$138</f>
        <v>0.98769624312702875</v>
      </c>
      <c r="D155" s="450">
        <f t="shared" si="31"/>
        <v>1.036201331055546</v>
      </c>
      <c r="E155" s="450">
        <f t="shared" si="31"/>
        <v>1.108257979575932</v>
      </c>
      <c r="F155" s="450">
        <f t="shared" si="31"/>
        <v>1.2200828224864722</v>
      </c>
      <c r="G155" s="450">
        <f t="shared" si="31"/>
        <v>1.3939798422983554</v>
      </c>
      <c r="H155" s="450">
        <f t="shared" si="31"/>
        <v>1.5443830252640522</v>
      </c>
      <c r="I155" s="450">
        <f t="shared" si="31"/>
        <v>1.6504700861127586</v>
      </c>
      <c r="J155" s="450">
        <f t="shared" si="31"/>
        <v>1.5955231684218973</v>
      </c>
      <c r="K155" s="450">
        <f t="shared" si="31"/>
        <v>1.5886753311731305</v>
      </c>
    </row>
    <row r="156" spans="1:11">
      <c r="A156" s="354"/>
      <c r="B156" s="252" t="s">
        <v>425</v>
      </c>
      <c r="C156" s="352"/>
      <c r="D156" s="352"/>
      <c r="E156" s="352"/>
      <c r="F156" s="352"/>
      <c r="G156" s="352"/>
      <c r="H156" s="352"/>
      <c r="I156" s="352"/>
      <c r="J156" s="352"/>
      <c r="K156" s="352"/>
    </row>
    <row r="157" spans="1:11">
      <c r="A157" s="354"/>
      <c r="B157" s="252">
        <v>2019</v>
      </c>
      <c r="C157" s="450">
        <f t="shared" ref="C157:K157" si="32">C135/C$138</f>
        <v>0.2629207021094383</v>
      </c>
      <c r="D157" s="450">
        <f t="shared" si="32"/>
        <v>0.27583255822187025</v>
      </c>
      <c r="E157" s="450">
        <f t="shared" si="32"/>
        <v>0.29501374348248499</v>
      </c>
      <c r="F157" s="450">
        <f t="shared" si="32"/>
        <v>0.32478105951300251</v>
      </c>
      <c r="G157" s="450">
        <f t="shared" si="32"/>
        <v>0.3710717352767644</v>
      </c>
      <c r="H157" s="450">
        <f t="shared" si="32"/>
        <v>0.41110844771746324</v>
      </c>
      <c r="I157" s="450">
        <f t="shared" si="32"/>
        <v>0.43934838961980494</v>
      </c>
      <c r="J157" s="450">
        <f t="shared" si="32"/>
        <v>0.42472174475954622</v>
      </c>
      <c r="K157" s="450">
        <f t="shared" si="32"/>
        <v>0.42289887847863689</v>
      </c>
    </row>
    <row r="158" spans="1:11">
      <c r="B158" s="252">
        <f>B157+1</f>
        <v>2020</v>
      </c>
      <c r="C158" s="450">
        <f t="shared" ref="C158:K158" si="33">C136/C$138</f>
        <v>0.25766181254353088</v>
      </c>
      <c r="D158" s="450">
        <f t="shared" si="33"/>
        <v>0.27031540818106914</v>
      </c>
      <c r="E158" s="450">
        <f t="shared" si="33"/>
        <v>0.28911293504499058</v>
      </c>
      <c r="F158" s="450">
        <f t="shared" si="33"/>
        <v>0.31828485091712572</v>
      </c>
      <c r="G158" s="450">
        <f t="shared" si="33"/>
        <v>0.36364962944335655</v>
      </c>
      <c r="H158" s="450">
        <f t="shared" si="33"/>
        <v>0.40288553522403059</v>
      </c>
      <c r="I158" s="450">
        <f t="shared" si="33"/>
        <v>0.43056062721299332</v>
      </c>
      <c r="J158" s="450">
        <f t="shared" si="33"/>
        <v>0.41622654170398654</v>
      </c>
      <c r="K158" s="450">
        <f t="shared" si="33"/>
        <v>0.41444013604556834</v>
      </c>
    </row>
    <row r="164" spans="1:13">
      <c r="A164" s="351"/>
      <c r="B164" s="349"/>
    </row>
    <row r="165" spans="1:13">
      <c r="A165" s="351" t="s">
        <v>76</v>
      </c>
      <c r="B165" s="349" t="s">
        <v>426</v>
      </c>
    </row>
    <row r="166" spans="1:13">
      <c r="A166" s="351"/>
      <c r="B166" s="349" t="s">
        <v>427</v>
      </c>
    </row>
    <row r="167" spans="1:13">
      <c r="A167" s="351" t="s">
        <v>170</v>
      </c>
      <c r="B167" s="349" t="s">
        <v>428</v>
      </c>
    </row>
    <row r="168" spans="1:13">
      <c r="B168" s="349"/>
    </row>
    <row r="169" spans="1:13">
      <c r="B169" s="349" t="s">
        <v>286</v>
      </c>
    </row>
    <row r="170" spans="1:13">
      <c r="A170" s="349"/>
      <c r="B170" s="349"/>
      <c r="C170" s="349"/>
      <c r="D170" s="349"/>
      <c r="E170" s="349"/>
      <c r="F170" s="349"/>
      <c r="G170" s="349"/>
      <c r="H170" s="349"/>
      <c r="I170" s="349"/>
      <c r="J170" s="349"/>
      <c r="K170" s="349"/>
      <c r="L170" s="349"/>
      <c r="M170" s="143" t="s">
        <v>410</v>
      </c>
    </row>
    <row r="171" spans="1:13">
      <c r="A171" s="245" t="str">
        <f>A2</f>
        <v>Paid Loss Development Factors</v>
      </c>
      <c r="B171" s="245"/>
      <c r="C171" s="245"/>
      <c r="D171" s="245"/>
      <c r="E171" s="245"/>
      <c r="F171" s="245"/>
      <c r="G171" s="245"/>
      <c r="H171" s="245"/>
      <c r="I171" s="245"/>
      <c r="J171" s="245"/>
      <c r="K171" s="245"/>
      <c r="L171" s="245"/>
      <c r="M171" s="245"/>
    </row>
    <row r="172" spans="1:13">
      <c r="A172" s="245" t="str">
        <f t="shared" ref="A172:A173" si="34">A3</f>
        <v>Adjusted for the Impact of Claim Settlement Rate</v>
      </c>
      <c r="B172" s="245"/>
      <c r="C172" s="245"/>
      <c r="D172" s="245"/>
      <c r="E172" s="245"/>
      <c r="F172" s="245"/>
      <c r="G172" s="245"/>
      <c r="H172" s="245"/>
      <c r="I172" s="245"/>
      <c r="J172" s="245"/>
      <c r="K172" s="245"/>
      <c r="L172" s="245"/>
      <c r="M172" s="245"/>
    </row>
    <row r="173" spans="1:13">
      <c r="A173" s="245" t="str">
        <f t="shared" si="34"/>
        <v>Changes on Later Period Development</v>
      </c>
      <c r="B173" s="245"/>
      <c r="C173" s="245"/>
      <c r="D173" s="245"/>
      <c r="E173" s="245"/>
      <c r="F173" s="245"/>
      <c r="G173" s="245"/>
      <c r="H173" s="245"/>
      <c r="I173" s="245"/>
      <c r="J173" s="245"/>
      <c r="K173" s="245"/>
      <c r="L173" s="245"/>
      <c r="M173" s="245"/>
    </row>
    <row r="174" spans="1:13">
      <c r="A174" s="245"/>
      <c r="B174" s="245"/>
      <c r="C174" s="245"/>
      <c r="D174" s="245"/>
      <c r="E174" s="245"/>
      <c r="F174" s="245"/>
      <c r="G174" s="245"/>
      <c r="H174" s="245"/>
      <c r="I174" s="245"/>
      <c r="J174" s="245"/>
      <c r="K174" s="245"/>
      <c r="L174" s="245"/>
      <c r="M174" s="245"/>
    </row>
    <row r="175" spans="1:13">
      <c r="A175" s="245"/>
      <c r="B175" s="245"/>
      <c r="C175" s="245"/>
      <c r="D175" s="245"/>
      <c r="E175" s="245"/>
      <c r="F175" s="245"/>
      <c r="G175" s="245"/>
      <c r="H175" s="245"/>
      <c r="I175" s="245"/>
      <c r="J175" s="245"/>
      <c r="K175" s="245"/>
      <c r="L175" s="245"/>
      <c r="M175" s="245"/>
    </row>
    <row r="176" spans="1:13">
      <c r="A176" s="349"/>
      <c r="B176" s="349"/>
      <c r="C176" s="349"/>
      <c r="D176" s="349"/>
      <c r="E176" s="349"/>
      <c r="F176" s="349"/>
      <c r="G176" s="349"/>
      <c r="H176" s="349"/>
      <c r="I176" s="349"/>
      <c r="J176" s="349"/>
      <c r="K176" s="349"/>
      <c r="L176" s="349"/>
      <c r="M176" s="349"/>
    </row>
    <row r="177" spans="1:11">
      <c r="C177" s="346" t="s">
        <v>432</v>
      </c>
      <c r="D177" s="350"/>
      <c r="E177" s="350"/>
      <c r="F177" s="350"/>
      <c r="G177" s="350"/>
      <c r="H177" s="350"/>
      <c r="I177" s="350"/>
      <c r="J177" s="350"/>
      <c r="K177" s="350"/>
    </row>
    <row r="178" spans="1:11">
      <c r="B178" s="56" t="s">
        <v>356</v>
      </c>
      <c r="C178" s="77" t="str">
        <f t="shared" ref="C178:K178" si="35">C$11&amp;"-"&amp;C$11+12</f>
        <v>276-288</v>
      </c>
      <c r="D178" s="77" t="str">
        <f t="shared" si="35"/>
        <v>288-300</v>
      </c>
      <c r="E178" s="77" t="str">
        <f t="shared" si="35"/>
        <v>300-312</v>
      </c>
      <c r="F178" s="77" t="str">
        <f t="shared" si="35"/>
        <v>312-324</v>
      </c>
      <c r="G178" s="77" t="str">
        <f t="shared" si="35"/>
        <v>324-336</v>
      </c>
      <c r="H178" s="77" t="str">
        <f t="shared" si="35"/>
        <v>336-348</v>
      </c>
      <c r="I178" s="77" t="str">
        <f t="shared" si="35"/>
        <v>348-360</v>
      </c>
      <c r="J178" s="77" t="str">
        <f t="shared" si="35"/>
        <v>360-372</v>
      </c>
      <c r="K178" s="77" t="str">
        <f t="shared" si="35"/>
        <v>372-384</v>
      </c>
    </row>
    <row r="183" spans="1:11">
      <c r="A183" s="313" t="s">
        <v>439</v>
      </c>
      <c r="B183" s="56"/>
    </row>
    <row r="184" spans="1:11">
      <c r="B184" s="56"/>
    </row>
    <row r="185" spans="1:11">
      <c r="B185" s="56"/>
    </row>
    <row r="186" spans="1:11">
      <c r="B186" s="56" t="s">
        <v>3</v>
      </c>
      <c r="C186" s="451">
        <f>'Exhibit 2.3.2'!H$28</f>
        <v>1.0026666666666666</v>
      </c>
      <c r="D186" s="451">
        <f>'Exhibit 2.3.2'!I$28</f>
        <v>1.0019999999999998</v>
      </c>
      <c r="E186" s="451">
        <f>'Exhibit 2.3.2'!J$28</f>
        <v>1.0013333333333332</v>
      </c>
      <c r="F186" s="451">
        <f>'Exhibit 2.3.2'!K$28</f>
        <v>1.0009999999999999</v>
      </c>
      <c r="G186" s="451">
        <f>'Exhibit 2.3.2'!L$28</f>
        <v>1.0009999999999999</v>
      </c>
      <c r="H186" s="451">
        <f>'Exhibit 2.3.2'!M$28</f>
        <v>1.0009999999999999</v>
      </c>
      <c r="I186" s="451">
        <f>'Exhibit 2.3.2'!N$28</f>
        <v>1.0009999999999999</v>
      </c>
      <c r="J186" s="451">
        <f>'Exhibit 2.3.2'!O$28</f>
        <v>1.0009999999999999</v>
      </c>
      <c r="K186" s="451">
        <f>'Exhibit 2.3.2'!P$28</f>
        <v>1.0006666666666666</v>
      </c>
    </row>
    <row r="187" spans="1:11">
      <c r="B187" s="56" t="s">
        <v>5</v>
      </c>
      <c r="C187" s="451">
        <f>'Exhibit 2.4.2'!H$51</f>
        <v>1.0076666666666665</v>
      </c>
      <c r="D187" s="451">
        <f>'Exhibit 2.4.2'!I$51</f>
        <v>1.0073333333333332</v>
      </c>
      <c r="E187" s="451">
        <f>'Exhibit 2.4.2'!J$51</f>
        <v>1.0056666666666665</v>
      </c>
      <c r="F187" s="451">
        <f>'Exhibit 2.4.2'!K$51</f>
        <v>1.006</v>
      </c>
      <c r="G187" s="451">
        <f>'Exhibit 2.4.2'!L$51</f>
        <v>1.0046666666666666</v>
      </c>
      <c r="H187" s="451">
        <f>'Exhibit 2.4.2'!M$51</f>
        <v>1.0030000000000001</v>
      </c>
      <c r="I187" s="451">
        <f>'Exhibit 2.4.2'!N$51</f>
        <v>1.0033333333333332</v>
      </c>
      <c r="J187" s="451">
        <f>'Exhibit 2.4.2'!O$51</f>
        <v>1.0029999999999999</v>
      </c>
      <c r="K187" s="451">
        <f>'Exhibit 2.4.2'!P$51</f>
        <v>1.0039999999999998</v>
      </c>
    </row>
    <row r="192" spans="1:11">
      <c r="A192" s="313" t="s">
        <v>431</v>
      </c>
      <c r="B192" s="56"/>
      <c r="C192" s="56"/>
    </row>
    <row r="193" spans="1:11">
      <c r="B193" s="56"/>
      <c r="C193" s="56"/>
    </row>
    <row r="194" spans="1:11">
      <c r="B194" s="56"/>
    </row>
    <row r="195" spans="1:11">
      <c r="B195" s="353" t="str">
        <f>"Accident Year "&amp;$B$157</f>
        <v>Accident Year 2019</v>
      </c>
      <c r="C195" s="450">
        <f>(C157-1)*0.4+1</f>
        <v>0.70516828084377536</v>
      </c>
      <c r="D195" s="450">
        <f t="shared" ref="D195:K195" si="36">(D157-1)*0.4+1</f>
        <v>0.71033302328874814</v>
      </c>
      <c r="E195" s="450">
        <f t="shared" si="36"/>
        <v>0.71800549739299391</v>
      </c>
      <c r="F195" s="450">
        <f t="shared" si="36"/>
        <v>0.72991242380520105</v>
      </c>
      <c r="G195" s="450">
        <f t="shared" si="36"/>
        <v>0.74842869411070567</v>
      </c>
      <c r="H195" s="450">
        <f t="shared" si="36"/>
        <v>0.76444337908698534</v>
      </c>
      <c r="I195" s="450">
        <f t="shared" si="36"/>
        <v>0.77573935584792197</v>
      </c>
      <c r="J195" s="450">
        <f t="shared" si="36"/>
        <v>0.76988869790381842</v>
      </c>
      <c r="K195" s="450">
        <f t="shared" si="36"/>
        <v>0.76915955139145475</v>
      </c>
    </row>
    <row r="196" spans="1:11">
      <c r="B196" s="353" t="str">
        <f>"Accident Year "&amp;$B$158</f>
        <v>Accident Year 2020</v>
      </c>
      <c r="C196" s="450">
        <f t="shared" ref="C196:K196" si="37">(C158-1)*0.4+1</f>
        <v>0.70306472501741224</v>
      </c>
      <c r="D196" s="450">
        <f t="shared" si="37"/>
        <v>0.70812616327242761</v>
      </c>
      <c r="E196" s="450">
        <f t="shared" si="37"/>
        <v>0.71564517401799621</v>
      </c>
      <c r="F196" s="450">
        <f t="shared" si="37"/>
        <v>0.72731394036685026</v>
      </c>
      <c r="G196" s="450">
        <f t="shared" si="37"/>
        <v>0.74545985177734253</v>
      </c>
      <c r="H196" s="450">
        <f t="shared" si="37"/>
        <v>0.76115421408961226</v>
      </c>
      <c r="I196" s="450">
        <f t="shared" si="37"/>
        <v>0.77222425088519731</v>
      </c>
      <c r="J196" s="450">
        <f t="shared" si="37"/>
        <v>0.76649061668159457</v>
      </c>
      <c r="K196" s="450">
        <f t="shared" si="37"/>
        <v>0.76577605441822727</v>
      </c>
    </row>
    <row r="201" spans="1:11">
      <c r="A201" s="313" t="s">
        <v>438</v>
      </c>
      <c r="B201" s="56"/>
      <c r="C201" s="56"/>
    </row>
    <row r="202" spans="1:11">
      <c r="A202" s="313"/>
      <c r="B202" s="56"/>
      <c r="C202" s="56"/>
    </row>
    <row r="203" spans="1:11">
      <c r="B203" s="56"/>
      <c r="C203" s="488"/>
    </row>
    <row r="204" spans="1:11">
      <c r="B204" s="56" t="s">
        <v>3</v>
      </c>
    </row>
    <row r="205" spans="1:11">
      <c r="B205" s="56" t="str">
        <f>$B$195</f>
        <v>Accident Year 2019</v>
      </c>
      <c r="C205" s="452">
        <v>1.0018780548171109</v>
      </c>
      <c r="D205" s="452">
        <v>1.001418782424456</v>
      </c>
      <c r="E205" s="452">
        <v>1.000955997591348</v>
      </c>
      <c r="F205" s="452">
        <v>1.0007288034814956</v>
      </c>
      <c r="G205" s="452">
        <v>1.0007471616955124</v>
      </c>
      <c r="H205" s="452">
        <v>1.0007630396779224</v>
      </c>
      <c r="I205" s="452">
        <v>1.0007742392313683</v>
      </c>
      <c r="J205" s="452">
        <v>1.0007684385150843</v>
      </c>
      <c r="K205" s="452">
        <v>1.0005118103950814</v>
      </c>
    </row>
    <row r="206" spans="1:11">
      <c r="B206" s="56" t="str">
        <f>$B$196</f>
        <v>Accident Year 2020</v>
      </c>
      <c r="C206" s="452">
        <v>1.0018804487489166</v>
      </c>
      <c r="D206" s="452">
        <v>1.0014206660465774</v>
      </c>
      <c r="E206" s="452">
        <v>1.0009573406631906</v>
      </c>
      <c r="F206" s="452">
        <v>1.0007299124238052</v>
      </c>
      <c r="G206" s="452">
        <v>1.0007484286941106</v>
      </c>
      <c r="H206" s="452">
        <v>1.000764443379087</v>
      </c>
      <c r="I206" s="452">
        <v>1.0007757393558478</v>
      </c>
      <c r="J206" s="452">
        <v>1.0007698886979037</v>
      </c>
      <c r="K206" s="452">
        <v>1.0005127730342609</v>
      </c>
    </row>
    <row r="207" spans="1:11">
      <c r="C207" s="153"/>
      <c r="D207" s="153"/>
      <c r="E207" s="153"/>
      <c r="F207" s="153"/>
      <c r="G207" s="153"/>
      <c r="H207" s="153"/>
      <c r="I207" s="153"/>
      <c r="J207" s="153"/>
      <c r="K207" s="153"/>
    </row>
    <row r="208" spans="1:11">
      <c r="C208" s="153"/>
      <c r="D208" s="153"/>
      <c r="E208" s="153"/>
      <c r="F208" s="153"/>
      <c r="G208" s="153"/>
      <c r="H208" s="153"/>
      <c r="I208" s="153"/>
      <c r="J208" s="153"/>
      <c r="K208" s="153"/>
    </row>
    <row r="209" spans="1:11">
      <c r="B209" s="56" t="s">
        <v>5</v>
      </c>
      <c r="C209" s="153"/>
      <c r="D209" s="153"/>
      <c r="E209" s="153"/>
      <c r="F209" s="153"/>
      <c r="G209" s="153"/>
      <c r="H209" s="153"/>
      <c r="I209" s="153"/>
      <c r="J209" s="153"/>
      <c r="K209" s="153"/>
    </row>
    <row r="210" spans="1:11">
      <c r="B210" s="56" t="str">
        <f>$B$195</f>
        <v>Accident Year 2019</v>
      </c>
      <c r="C210" s="452">
        <v>1.0053994075991937</v>
      </c>
      <c r="D210" s="452">
        <v>1.0052022022230056</v>
      </c>
      <c r="E210" s="452">
        <v>1.0040629897632289</v>
      </c>
      <c r="F210" s="452">
        <v>1.0043728208889739</v>
      </c>
      <c r="G210" s="452">
        <v>1.0034867545790584</v>
      </c>
      <c r="H210" s="452">
        <v>1.0022891190337673</v>
      </c>
      <c r="I210" s="452">
        <v>1.0025807974378944</v>
      </c>
      <c r="J210" s="452">
        <v>1.0023053155452535</v>
      </c>
      <c r="K210" s="452">
        <v>1.0030708623704883</v>
      </c>
    </row>
    <row r="211" spans="1:11">
      <c r="B211" s="56" t="str">
        <f>$B$196</f>
        <v>Accident Year 2020</v>
      </c>
      <c r="C211" s="452">
        <v>1.0054062901531355</v>
      </c>
      <c r="D211" s="452">
        <v>1.0052091088374506</v>
      </c>
      <c r="E211" s="452">
        <v>1.0040686978185602</v>
      </c>
      <c r="F211" s="452">
        <v>1.0043794745428312</v>
      </c>
      <c r="G211" s="452">
        <v>1.0034926672391833</v>
      </c>
      <c r="H211" s="452">
        <v>1.002293330137261</v>
      </c>
      <c r="I211" s="452">
        <v>1.0025857978528263</v>
      </c>
      <c r="J211" s="452">
        <v>1.0023096660937114</v>
      </c>
      <c r="K211" s="452">
        <v>1.0030766382055656</v>
      </c>
    </row>
    <row r="219" spans="1:11">
      <c r="A219" s="351" t="s">
        <v>174</v>
      </c>
      <c r="B219" s="349" t="s">
        <v>433</v>
      </c>
    </row>
    <row r="220" spans="1:11">
      <c r="A220" s="351"/>
      <c r="B220" s="349" t="s">
        <v>434</v>
      </c>
    </row>
    <row r="221" spans="1:11">
      <c r="A221" s="351" t="s">
        <v>98</v>
      </c>
      <c r="B221" s="349" t="s">
        <v>435</v>
      </c>
    </row>
    <row r="222" spans="1:11">
      <c r="A222" s="351"/>
      <c r="B222" s="349" t="s">
        <v>436</v>
      </c>
    </row>
    <row r="223" spans="1:11">
      <c r="A223" s="351" t="s">
        <v>283</v>
      </c>
      <c r="B223" s="349" t="s">
        <v>437</v>
      </c>
    </row>
    <row r="225" spans="2:2">
      <c r="B225" s="349" t="s">
        <v>286</v>
      </c>
    </row>
  </sheetData>
  <printOptions horizontalCentered="1"/>
  <pageMargins left="0.25" right="0.25" top="0.33" bottom="0.5" header="0.2" footer="0.3"/>
  <pageSetup scale="86" fitToHeight="4" orientation="portrait" blackAndWhite="1" r:id="rId1"/>
  <headerFooter scaleWithDoc="0"/>
  <rowBreaks count="3" manualBreakCount="3">
    <brk id="54" max="12" man="1"/>
    <brk id="111" max="12" man="1"/>
    <brk id="169" max="12"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pageSetUpPr fitToPage="1"/>
  </sheetPr>
  <dimension ref="A1:V57"/>
  <sheetViews>
    <sheetView zoomScaleNormal="100" zoomScaleSheetLayoutView="100" workbookViewId="0">
      <selection sqref="A1:V1"/>
    </sheetView>
  </sheetViews>
  <sheetFormatPr defaultColWidth="9.1796875" defaultRowHeight="12.5"/>
  <cols>
    <col min="1" max="1" width="20.26953125" style="120" customWidth="1"/>
    <col min="2" max="2" width="8" style="159" customWidth="1"/>
    <col min="3" max="6" width="8" style="120" customWidth="1"/>
    <col min="7" max="20" width="7.7265625" style="120" customWidth="1"/>
    <col min="21" max="21" width="7.7265625" style="286" customWidth="1"/>
    <col min="22" max="22" width="7.7265625" style="234" customWidth="1"/>
    <col min="23" max="16384" width="9.1796875" style="120"/>
  </cols>
  <sheetData>
    <row r="1" spans="1:22" ht="12.75" customHeight="1">
      <c r="A1" s="520" t="str">
        <f>"Selected Medical Development Factors - Paid to Ultimate"</f>
        <v>Selected Medical Development Factors - Paid to Ultimate</v>
      </c>
      <c r="B1" s="520"/>
      <c r="C1" s="520"/>
      <c r="D1" s="520"/>
      <c r="E1" s="520"/>
      <c r="F1" s="520"/>
      <c r="G1" s="520"/>
      <c r="H1" s="520"/>
      <c r="I1" s="520"/>
      <c r="J1" s="520"/>
      <c r="K1" s="520"/>
      <c r="L1" s="520"/>
      <c r="M1" s="520"/>
      <c r="N1" s="520"/>
      <c r="O1" s="520"/>
      <c r="P1" s="520"/>
      <c r="Q1" s="520"/>
      <c r="R1" s="520"/>
      <c r="S1" s="520"/>
      <c r="T1" s="520"/>
      <c r="U1" s="520"/>
      <c r="V1" s="520"/>
    </row>
    <row r="2" spans="1:22" ht="12" customHeight="1">
      <c r="A2" s="17"/>
      <c r="B2" s="17"/>
      <c r="C2" s="17"/>
      <c r="D2" s="17"/>
      <c r="E2" s="17"/>
      <c r="F2" s="17"/>
      <c r="G2" s="17"/>
      <c r="H2" s="17"/>
      <c r="I2" s="17"/>
      <c r="J2" s="17"/>
      <c r="K2" s="17"/>
      <c r="L2" s="17"/>
      <c r="M2" s="17"/>
      <c r="N2" s="17"/>
      <c r="O2" s="17"/>
      <c r="P2" s="17"/>
      <c r="Q2" s="17"/>
      <c r="R2" s="17"/>
      <c r="S2" s="17"/>
      <c r="T2" s="17"/>
      <c r="U2" s="17"/>
      <c r="V2" s="17"/>
    </row>
    <row r="3" spans="1:22" ht="12" customHeight="1">
      <c r="A3" s="1" t="s">
        <v>440</v>
      </c>
      <c r="B3" s="521" t="s">
        <v>18</v>
      </c>
      <c r="C3" s="521"/>
      <c r="D3" s="521"/>
      <c r="E3" s="521"/>
      <c r="F3" s="521"/>
      <c r="G3" s="521"/>
      <c r="H3" s="521"/>
      <c r="I3" s="521"/>
      <c r="J3" s="521"/>
      <c r="K3" s="521"/>
      <c r="L3" s="521"/>
      <c r="M3" s="521"/>
      <c r="N3" s="521"/>
      <c r="O3" s="521"/>
      <c r="P3" s="521"/>
      <c r="Q3" s="521"/>
      <c r="R3" s="521"/>
      <c r="S3" s="521"/>
      <c r="T3" s="521"/>
      <c r="U3" s="521"/>
      <c r="V3" s="521"/>
    </row>
    <row r="4" spans="1:22" ht="12" customHeight="1">
      <c r="A4" s="19" t="s">
        <v>19</v>
      </c>
      <c r="B4" s="19" t="s">
        <v>471</v>
      </c>
      <c r="C4" s="19" t="s">
        <v>472</v>
      </c>
      <c r="D4" s="19" t="s">
        <v>473</v>
      </c>
      <c r="E4" s="19" t="s">
        <v>474</v>
      </c>
      <c r="F4" s="19" t="s">
        <v>475</v>
      </c>
      <c r="G4" s="19" t="s">
        <v>476</v>
      </c>
      <c r="H4" s="19" t="s">
        <v>477</v>
      </c>
      <c r="I4" s="19" t="s">
        <v>478</v>
      </c>
      <c r="J4" s="19" t="s">
        <v>479</v>
      </c>
      <c r="K4" s="19" t="s">
        <v>480</v>
      </c>
      <c r="L4" s="19" t="s">
        <v>481</v>
      </c>
      <c r="M4" s="19" t="s">
        <v>482</v>
      </c>
      <c r="N4" s="19" t="s">
        <v>483</v>
      </c>
      <c r="O4" s="19" t="s">
        <v>484</v>
      </c>
      <c r="P4" s="19" t="s">
        <v>485</v>
      </c>
      <c r="Q4" s="19" t="s">
        <v>486</v>
      </c>
      <c r="R4" s="19" t="s">
        <v>487</v>
      </c>
      <c r="S4" s="19" t="s">
        <v>488</v>
      </c>
      <c r="T4" s="19" t="s">
        <v>489</v>
      </c>
      <c r="U4" s="19" t="s">
        <v>490</v>
      </c>
      <c r="V4" s="19" t="s">
        <v>491</v>
      </c>
    </row>
    <row r="5" spans="1:22" s="286" customFormat="1" ht="12" customHeight="1">
      <c r="A5" s="1">
        <f t="shared" ref="A5:A25" si="0">A6-1</f>
        <v>1997</v>
      </c>
      <c r="B5" s="21"/>
      <c r="C5" s="21"/>
      <c r="D5" s="21"/>
      <c r="E5" s="21"/>
      <c r="F5" s="21"/>
      <c r="G5" s="21"/>
      <c r="H5" s="21"/>
      <c r="I5" s="21"/>
      <c r="J5" s="21"/>
      <c r="K5" s="21"/>
      <c r="L5" s="21"/>
      <c r="M5" s="21"/>
      <c r="N5" s="21"/>
      <c r="O5" s="21"/>
      <c r="P5" s="21"/>
      <c r="Q5" s="21"/>
      <c r="R5" s="21"/>
      <c r="S5" s="21"/>
      <c r="T5" s="21"/>
      <c r="U5" s="21"/>
      <c r="V5" s="21">
        <v>1.008</v>
      </c>
    </row>
    <row r="6" spans="1:22" s="234" customFormat="1" ht="12" customHeight="1">
      <c r="A6" s="1">
        <f t="shared" si="0"/>
        <v>1998</v>
      </c>
      <c r="B6" s="21"/>
      <c r="C6" s="21"/>
      <c r="D6" s="21"/>
      <c r="E6" s="21"/>
      <c r="F6" s="21"/>
      <c r="G6" s="21"/>
      <c r="H6" s="21"/>
      <c r="I6" s="21"/>
      <c r="J6" s="21"/>
      <c r="K6" s="21"/>
      <c r="L6" s="21"/>
      <c r="M6" s="21"/>
      <c r="N6" s="21"/>
      <c r="O6" s="21"/>
      <c r="P6" s="21"/>
      <c r="Q6" s="21"/>
      <c r="R6" s="21"/>
      <c r="S6" s="21"/>
      <c r="T6" s="21"/>
      <c r="U6" s="21">
        <v>1.0089999999999999</v>
      </c>
      <c r="V6" s="21">
        <v>1.01</v>
      </c>
    </row>
    <row r="7" spans="1:22" s="205" customFormat="1" ht="12" customHeight="1">
      <c r="A7" s="1">
        <f t="shared" si="0"/>
        <v>1999</v>
      </c>
      <c r="B7" s="21"/>
      <c r="C7" s="21"/>
      <c r="D7" s="21"/>
      <c r="E7" s="21"/>
      <c r="F7" s="21"/>
      <c r="G7" s="21"/>
      <c r="H7" s="21"/>
      <c r="I7" s="21"/>
      <c r="J7" s="21"/>
      <c r="K7" s="21"/>
      <c r="L7" s="21"/>
      <c r="M7" s="21"/>
      <c r="N7" s="21"/>
      <c r="O7" s="21"/>
      <c r="P7" s="21"/>
      <c r="Q7" s="21"/>
      <c r="R7" s="21"/>
      <c r="S7" s="21"/>
      <c r="T7" s="21">
        <v>1.01</v>
      </c>
      <c r="U7" s="21">
        <v>1.0089999999999999</v>
      </c>
      <c r="V7" s="21">
        <v>1.006</v>
      </c>
    </row>
    <row r="8" spans="1:22" ht="12" customHeight="1">
      <c r="A8" s="1">
        <f t="shared" si="0"/>
        <v>2000</v>
      </c>
      <c r="B8" s="21"/>
      <c r="C8" s="21"/>
      <c r="D8" s="21"/>
      <c r="E8" s="21"/>
      <c r="F8" s="21"/>
      <c r="G8" s="21"/>
      <c r="H8" s="21"/>
      <c r="I8" s="21"/>
      <c r="J8" s="21"/>
      <c r="K8" s="21"/>
      <c r="L8" s="21"/>
      <c r="M8" s="21"/>
      <c r="N8" s="21"/>
      <c r="O8" s="21"/>
      <c r="P8" s="21"/>
      <c r="Q8" s="21"/>
      <c r="R8" s="21"/>
      <c r="S8" s="21">
        <v>1.0089999999999999</v>
      </c>
      <c r="T8" s="21">
        <v>1.0069999999999999</v>
      </c>
      <c r="U8" s="21">
        <v>1.006</v>
      </c>
      <c r="V8" s="21" t="s">
        <v>34</v>
      </c>
    </row>
    <row r="9" spans="1:22" ht="12" customHeight="1">
      <c r="A9" s="1">
        <f t="shared" si="0"/>
        <v>2001</v>
      </c>
      <c r="B9" s="21"/>
      <c r="C9" s="21"/>
      <c r="D9" s="21"/>
      <c r="E9" s="21"/>
      <c r="F9" s="21"/>
      <c r="G9" s="21"/>
      <c r="H9" s="21"/>
      <c r="I9" s="21"/>
      <c r="J9" s="21"/>
      <c r="K9" s="21"/>
      <c r="L9" s="21"/>
      <c r="M9" s="21"/>
      <c r="N9" s="21"/>
      <c r="O9" s="21"/>
      <c r="P9" s="21"/>
      <c r="Q9" s="21"/>
      <c r="R9" s="21">
        <v>1.0109999999999999</v>
      </c>
      <c r="S9" s="21">
        <v>1.0109999999999999</v>
      </c>
      <c r="T9" s="21">
        <v>1.01</v>
      </c>
      <c r="U9" s="21" t="s">
        <v>34</v>
      </c>
      <c r="V9" s="21"/>
    </row>
    <row r="10" spans="1:22" ht="12" customHeight="1">
      <c r="A10" s="1">
        <f t="shared" si="0"/>
        <v>2002</v>
      </c>
      <c r="B10" s="21"/>
      <c r="C10" s="21"/>
      <c r="D10" s="21"/>
      <c r="E10" s="21"/>
      <c r="F10" s="21"/>
      <c r="G10" s="21"/>
      <c r="H10" s="21"/>
      <c r="I10" s="21"/>
      <c r="J10" s="21"/>
      <c r="K10" s="21"/>
      <c r="L10" s="21"/>
      <c r="M10" s="21"/>
      <c r="N10" s="21"/>
      <c r="O10" s="21"/>
      <c r="P10" s="21"/>
      <c r="Q10" s="21">
        <v>1.0109999999999999</v>
      </c>
      <c r="R10" s="21">
        <v>1.01</v>
      </c>
      <c r="S10" s="21">
        <v>1.0089999999999999</v>
      </c>
      <c r="T10" s="21"/>
      <c r="U10" s="21"/>
      <c r="V10" s="21"/>
    </row>
    <row r="11" spans="1:22" ht="12" customHeight="1">
      <c r="A11" s="1">
        <f t="shared" si="0"/>
        <v>2003</v>
      </c>
      <c r="B11" s="21"/>
      <c r="C11" s="21"/>
      <c r="D11" s="21"/>
      <c r="E11" s="21"/>
      <c r="F11" s="21"/>
      <c r="G11" s="21"/>
      <c r="H11" s="21"/>
      <c r="I11" s="21"/>
      <c r="J11" s="21"/>
      <c r="K11" s="21"/>
      <c r="L11" s="21"/>
      <c r="M11" s="21"/>
      <c r="N11" s="21"/>
      <c r="O11" s="21"/>
      <c r="P11" s="21">
        <v>1.0129999999999999</v>
      </c>
      <c r="Q11" s="21">
        <v>1.0109999999999999</v>
      </c>
      <c r="R11" s="21">
        <v>1.012</v>
      </c>
      <c r="S11" s="21"/>
      <c r="T11" s="21"/>
      <c r="U11" s="21"/>
      <c r="V11" s="21"/>
    </row>
    <row r="12" spans="1:22" ht="12" customHeight="1">
      <c r="A12" s="1">
        <f t="shared" si="0"/>
        <v>2004</v>
      </c>
      <c r="B12" s="21"/>
      <c r="C12" s="21"/>
      <c r="D12" s="21"/>
      <c r="E12" s="21"/>
      <c r="F12" s="21"/>
      <c r="G12" s="21"/>
      <c r="H12" s="21"/>
      <c r="I12" s="21"/>
      <c r="J12" s="21"/>
      <c r="K12" s="21"/>
      <c r="L12" s="21"/>
      <c r="M12" s="21"/>
      <c r="N12" s="21"/>
      <c r="O12" s="21">
        <v>1.0129999999999999</v>
      </c>
      <c r="P12" s="21">
        <v>1.014</v>
      </c>
      <c r="Q12" s="21">
        <v>1.01</v>
      </c>
      <c r="R12" s="21"/>
      <c r="S12" s="21"/>
      <c r="T12" s="21"/>
      <c r="U12" s="21"/>
      <c r="V12" s="21"/>
    </row>
    <row r="13" spans="1:22" ht="12" customHeight="1">
      <c r="A13" s="1">
        <f t="shared" si="0"/>
        <v>2005</v>
      </c>
      <c r="B13" s="21"/>
      <c r="C13" s="21"/>
      <c r="D13" s="21"/>
      <c r="E13" s="21"/>
      <c r="F13" s="21"/>
      <c r="G13" s="21"/>
      <c r="H13" s="21"/>
      <c r="I13" s="21"/>
      <c r="J13" s="21"/>
      <c r="K13" s="21"/>
      <c r="L13" s="21"/>
      <c r="M13" s="21"/>
      <c r="N13" s="21">
        <v>1.016</v>
      </c>
      <c r="O13" s="21">
        <v>1.0149999999999999</v>
      </c>
      <c r="P13" s="21">
        <v>1.0129999999999999</v>
      </c>
      <c r="Q13" s="21"/>
      <c r="R13" s="21"/>
      <c r="S13" s="21"/>
      <c r="T13" s="21"/>
      <c r="U13" s="21"/>
      <c r="V13" s="21"/>
    </row>
    <row r="14" spans="1:22" ht="12" customHeight="1">
      <c r="A14" s="1">
        <f t="shared" si="0"/>
        <v>2006</v>
      </c>
      <c r="B14" s="21"/>
      <c r="C14" s="21"/>
      <c r="D14" s="21"/>
      <c r="E14" s="21"/>
      <c r="F14" s="21"/>
      <c r="G14" s="21"/>
      <c r="H14" s="21"/>
      <c r="I14" s="21"/>
      <c r="J14" s="21"/>
      <c r="K14" s="21"/>
      <c r="L14" s="21"/>
      <c r="M14" s="21">
        <v>1.0169999999999999</v>
      </c>
      <c r="N14" s="21">
        <v>1.016</v>
      </c>
      <c r="O14" s="21">
        <v>1.012</v>
      </c>
      <c r="P14" s="21"/>
      <c r="Q14" s="21"/>
      <c r="R14" s="21"/>
      <c r="S14" s="21"/>
      <c r="T14" s="21"/>
      <c r="U14" s="21"/>
      <c r="V14" s="21"/>
    </row>
    <row r="15" spans="1:22" ht="12" customHeight="1">
      <c r="A15" s="1">
        <f t="shared" si="0"/>
        <v>2007</v>
      </c>
      <c r="B15" s="21"/>
      <c r="C15" s="21"/>
      <c r="D15" s="21"/>
      <c r="E15" s="21"/>
      <c r="F15" s="21"/>
      <c r="G15" s="21"/>
      <c r="H15" s="21"/>
      <c r="I15" s="21"/>
      <c r="J15" s="21"/>
      <c r="K15" s="21"/>
      <c r="L15" s="21">
        <v>1.022</v>
      </c>
      <c r="M15" s="21">
        <v>1.016</v>
      </c>
      <c r="N15" s="21">
        <v>1.014</v>
      </c>
      <c r="O15" s="21"/>
      <c r="P15" s="21"/>
      <c r="Q15" s="21"/>
      <c r="R15" s="21"/>
      <c r="S15" s="21"/>
      <c r="T15" s="21"/>
      <c r="U15" s="21"/>
      <c r="V15" s="21"/>
    </row>
    <row r="16" spans="1:22" ht="12" customHeight="1">
      <c r="A16" s="1">
        <f t="shared" si="0"/>
        <v>2008</v>
      </c>
      <c r="B16" s="21"/>
      <c r="C16" s="21"/>
      <c r="D16" s="21"/>
      <c r="E16" s="21"/>
      <c r="F16" s="21"/>
      <c r="G16" s="21"/>
      <c r="H16" s="21"/>
      <c r="I16" s="21"/>
      <c r="J16" s="21"/>
      <c r="K16" s="21">
        <v>1.02</v>
      </c>
      <c r="L16" s="21">
        <v>1.018</v>
      </c>
      <c r="M16" s="21">
        <v>1.0129999999999999</v>
      </c>
      <c r="N16" s="21"/>
      <c r="O16" s="21"/>
      <c r="P16" s="21"/>
      <c r="Q16" s="21"/>
      <c r="R16" s="21"/>
      <c r="S16" s="21"/>
      <c r="T16" s="21"/>
      <c r="U16" s="21"/>
      <c r="V16" s="21"/>
    </row>
    <row r="17" spans="1:22" ht="12" customHeight="1">
      <c r="A17" s="1">
        <f t="shared" si="0"/>
        <v>2009</v>
      </c>
      <c r="B17" s="21"/>
      <c r="C17" s="21"/>
      <c r="D17" s="21"/>
      <c r="E17" s="21"/>
      <c r="F17" s="21"/>
      <c r="G17" s="21"/>
      <c r="H17" s="21"/>
      <c r="I17" s="21"/>
      <c r="J17" s="21">
        <v>1.026</v>
      </c>
      <c r="K17" s="21">
        <v>1.0209999999999999</v>
      </c>
      <c r="L17" s="21">
        <v>1.014</v>
      </c>
      <c r="M17" s="21"/>
      <c r="N17" s="21"/>
      <c r="O17" s="21"/>
      <c r="P17" s="21"/>
      <c r="Q17" s="21"/>
      <c r="R17" s="21"/>
      <c r="S17" s="21"/>
      <c r="T17" s="21"/>
      <c r="U17" s="21"/>
      <c r="V17" s="21"/>
    </row>
    <row r="18" spans="1:22" ht="12" customHeight="1">
      <c r="A18" s="1">
        <f t="shared" si="0"/>
        <v>2010</v>
      </c>
      <c r="B18" s="21"/>
      <c r="C18" s="21"/>
      <c r="D18" s="21"/>
      <c r="E18" s="21"/>
      <c r="F18" s="21"/>
      <c r="G18" s="21"/>
      <c r="H18" s="21"/>
      <c r="I18" s="21">
        <v>1.032</v>
      </c>
      <c r="J18" s="21">
        <v>1.026</v>
      </c>
      <c r="K18" s="21">
        <v>1.0189999999999999</v>
      </c>
      <c r="L18" s="21"/>
      <c r="M18" s="21"/>
      <c r="N18" s="21"/>
      <c r="O18" s="21"/>
      <c r="P18" s="21"/>
      <c r="Q18" s="21"/>
      <c r="R18" s="21"/>
      <c r="S18" s="21"/>
      <c r="T18" s="21"/>
      <c r="U18" s="21"/>
      <c r="V18" s="21"/>
    </row>
    <row r="19" spans="1:22" ht="12" customHeight="1">
      <c r="A19" s="1">
        <f t="shared" si="0"/>
        <v>2011</v>
      </c>
      <c r="B19" s="21"/>
      <c r="C19" s="21"/>
      <c r="D19" s="21"/>
      <c r="E19" s="21"/>
      <c r="F19" s="21"/>
      <c r="G19" s="21"/>
      <c r="H19" s="21">
        <v>1.0469999999999999</v>
      </c>
      <c r="I19" s="21">
        <v>1.0309999999999999</v>
      </c>
      <c r="J19" s="21">
        <v>1.02</v>
      </c>
      <c r="K19" s="21"/>
      <c r="L19" s="21"/>
      <c r="M19" s="21"/>
      <c r="N19" s="21"/>
      <c r="O19" s="21"/>
      <c r="P19" s="21"/>
      <c r="Q19" s="21"/>
      <c r="R19" s="21"/>
      <c r="S19" s="21"/>
      <c r="T19" s="21"/>
      <c r="U19" s="21"/>
      <c r="V19" s="21"/>
    </row>
    <row r="20" spans="1:22" ht="12" customHeight="1">
      <c r="A20" s="1">
        <f t="shared" si="0"/>
        <v>2012</v>
      </c>
      <c r="B20" s="21"/>
      <c r="C20" s="21"/>
      <c r="D20" s="21"/>
      <c r="E20" s="21"/>
      <c r="F20" s="21"/>
      <c r="G20" s="21">
        <v>1.0629999999999999</v>
      </c>
      <c r="H20" s="21">
        <v>1.0429999999999999</v>
      </c>
      <c r="I20" s="21">
        <v>1.0249999999999999</v>
      </c>
      <c r="J20" s="21"/>
      <c r="K20" s="21"/>
      <c r="L20" s="21"/>
      <c r="M20" s="21"/>
      <c r="N20" s="21"/>
      <c r="O20" s="21"/>
      <c r="P20" s="21"/>
      <c r="Q20" s="21"/>
      <c r="R20" s="21"/>
      <c r="S20" s="21"/>
      <c r="T20" s="21"/>
      <c r="U20" s="21"/>
      <c r="V20" s="21"/>
    </row>
    <row r="21" spans="1:22" ht="12" customHeight="1">
      <c r="A21" s="1">
        <f t="shared" si="0"/>
        <v>2013</v>
      </c>
      <c r="B21" s="21"/>
      <c r="C21" s="21"/>
      <c r="D21" s="21"/>
      <c r="E21" s="21"/>
      <c r="F21" s="21">
        <v>1.085</v>
      </c>
      <c r="G21" s="21">
        <v>1.052</v>
      </c>
      <c r="H21" s="21">
        <v>1.0309999999999999</v>
      </c>
      <c r="I21" s="21"/>
      <c r="J21" s="21"/>
      <c r="K21" s="21"/>
      <c r="L21" s="21"/>
      <c r="M21" s="21"/>
      <c r="N21" s="21"/>
      <c r="O21" s="21"/>
      <c r="P21" s="21"/>
      <c r="Q21" s="21"/>
      <c r="R21" s="21"/>
      <c r="S21" s="21"/>
      <c r="T21" s="21"/>
      <c r="U21" s="21"/>
      <c r="V21" s="21"/>
    </row>
    <row r="22" spans="1:22" ht="12" customHeight="1">
      <c r="A22" s="1">
        <f t="shared" si="0"/>
        <v>2014</v>
      </c>
      <c r="B22" s="21"/>
      <c r="C22" s="21"/>
      <c r="D22" s="21"/>
      <c r="E22" s="21">
        <v>1.131</v>
      </c>
      <c r="F22" s="21">
        <v>1.08</v>
      </c>
      <c r="G22" s="21">
        <v>1.0449999999999999</v>
      </c>
      <c r="H22" s="21"/>
      <c r="I22" s="21"/>
      <c r="J22" s="21"/>
      <c r="K22" s="21"/>
      <c r="L22" s="21"/>
      <c r="M22" s="21"/>
      <c r="N22" s="21"/>
      <c r="O22" s="21"/>
      <c r="P22" s="21"/>
      <c r="Q22" s="21"/>
      <c r="R22" s="21"/>
      <c r="S22" s="21"/>
      <c r="T22" s="21"/>
      <c r="U22" s="21"/>
      <c r="V22" s="21"/>
    </row>
    <row r="23" spans="1:22" ht="12" customHeight="1">
      <c r="A23" s="1">
        <f t="shared" si="0"/>
        <v>2015</v>
      </c>
      <c r="B23" s="21"/>
      <c r="C23" s="21"/>
      <c r="D23" s="21">
        <v>1.226</v>
      </c>
      <c r="E23" s="21">
        <v>1.1140000000000001</v>
      </c>
      <c r="F23" s="21">
        <v>1.0640000000000001</v>
      </c>
      <c r="G23" s="21"/>
      <c r="H23" s="21"/>
      <c r="I23" s="21"/>
      <c r="J23" s="21"/>
      <c r="K23" s="21"/>
      <c r="L23" s="21"/>
      <c r="M23" s="21"/>
      <c r="N23" s="21"/>
      <c r="O23" s="21"/>
      <c r="P23" s="21"/>
      <c r="Q23" s="21"/>
      <c r="R23" s="21"/>
      <c r="S23" s="21"/>
      <c r="T23" s="21"/>
      <c r="U23" s="21"/>
      <c r="V23" s="21"/>
    </row>
    <row r="24" spans="1:22" ht="12" customHeight="1">
      <c r="A24" s="1">
        <f t="shared" si="0"/>
        <v>2016</v>
      </c>
      <c r="B24" s="21"/>
      <c r="C24" s="21">
        <v>1.417</v>
      </c>
      <c r="D24" s="21">
        <v>1.1990000000000001</v>
      </c>
      <c r="E24" s="21">
        <v>1.1000000000000001</v>
      </c>
      <c r="F24" s="21"/>
      <c r="G24" s="21"/>
      <c r="H24" s="21"/>
      <c r="I24" s="21"/>
      <c r="J24" s="21"/>
      <c r="K24" s="21"/>
      <c r="L24" s="21"/>
      <c r="M24" s="21"/>
      <c r="N24" s="21"/>
      <c r="O24" s="21"/>
      <c r="P24" s="21"/>
      <c r="Q24" s="21"/>
      <c r="R24" s="21"/>
      <c r="S24" s="21"/>
      <c r="T24" s="21"/>
      <c r="U24" s="21"/>
      <c r="V24" s="21"/>
    </row>
    <row r="25" spans="1:22" ht="12" customHeight="1">
      <c r="A25" s="1">
        <f t="shared" si="0"/>
        <v>2017</v>
      </c>
      <c r="B25" s="21">
        <v>2.3860000000000001</v>
      </c>
      <c r="C25" s="21">
        <v>1.393</v>
      </c>
      <c r="D25" s="21">
        <v>1.1779999999999999</v>
      </c>
      <c r="E25" s="21"/>
      <c r="F25" s="21"/>
      <c r="G25" s="21"/>
      <c r="H25" s="21"/>
      <c r="I25" s="21"/>
      <c r="J25" s="21"/>
      <c r="K25" s="21"/>
      <c r="L25" s="21"/>
      <c r="M25" s="21"/>
      <c r="N25" s="21"/>
      <c r="O25" s="21"/>
      <c r="P25" s="21"/>
      <c r="Q25" s="21"/>
      <c r="R25" s="21"/>
      <c r="S25" s="21"/>
      <c r="T25" s="21"/>
      <c r="U25" s="21"/>
      <c r="V25" s="21"/>
    </row>
    <row r="26" spans="1:22" ht="12" customHeight="1">
      <c r="A26" s="1">
        <f>A27-1</f>
        <v>2018</v>
      </c>
      <c r="B26" s="21">
        <v>2.3780000000000001</v>
      </c>
      <c r="C26" s="21">
        <v>1.3779999999999999</v>
      </c>
      <c r="D26" s="21"/>
      <c r="E26" s="21"/>
      <c r="F26" s="21"/>
      <c r="G26" s="21"/>
      <c r="H26" s="21"/>
      <c r="I26" s="21"/>
      <c r="J26" s="21"/>
      <c r="K26" s="21"/>
      <c r="L26" s="21"/>
      <c r="M26" s="21"/>
      <c r="N26" s="21"/>
      <c r="O26" s="21"/>
      <c r="P26" s="21"/>
      <c r="Q26" s="21"/>
      <c r="R26" s="21"/>
      <c r="S26" s="21"/>
      <c r="T26" s="21"/>
      <c r="U26" s="21"/>
      <c r="V26" s="21"/>
    </row>
    <row r="27" spans="1:22" s="159" customFormat="1" ht="12" customHeight="1">
      <c r="A27" s="1">
        <f>'Exhibit 2.5.1'!A30</f>
        <v>2019</v>
      </c>
      <c r="B27" s="21">
        <v>2.347</v>
      </c>
      <c r="C27" s="21"/>
      <c r="D27" s="21"/>
      <c r="E27" s="21"/>
      <c r="F27" s="21"/>
      <c r="G27" s="21"/>
      <c r="H27" s="21"/>
      <c r="I27" s="21"/>
      <c r="J27" s="21"/>
      <c r="K27" s="21"/>
      <c r="L27" s="21"/>
      <c r="M27" s="21"/>
      <c r="N27" s="21"/>
      <c r="O27" s="21"/>
      <c r="P27" s="21"/>
      <c r="Q27" s="21"/>
      <c r="R27" s="21"/>
      <c r="S27" s="21"/>
      <c r="T27" s="21"/>
      <c r="U27" s="21"/>
      <c r="V27" s="21"/>
    </row>
    <row r="28" spans="1:22" s="135" customFormat="1" ht="12" customHeight="1">
      <c r="A28" s="1"/>
      <c r="B28" s="1"/>
      <c r="C28" s="16"/>
      <c r="D28" s="17"/>
      <c r="E28" s="17"/>
      <c r="F28" s="17"/>
      <c r="G28" s="17"/>
      <c r="H28" s="17"/>
      <c r="I28" s="17"/>
      <c r="J28" s="17"/>
      <c r="K28" s="17"/>
      <c r="L28" s="16"/>
      <c r="M28" s="17"/>
      <c r="N28" s="17"/>
      <c r="O28" s="17"/>
      <c r="P28" s="17"/>
      <c r="Q28" s="17"/>
      <c r="R28" s="17"/>
      <c r="S28" s="17"/>
      <c r="T28" s="17"/>
      <c r="U28" s="17"/>
      <c r="V28" s="17"/>
    </row>
    <row r="29" spans="1:22" ht="12" customHeight="1">
      <c r="A29" s="1" t="s">
        <v>36</v>
      </c>
      <c r="B29" s="16" t="str">
        <f t="shared" ref="B29:F29" si="1">TEXT(INDEX($B$47:$G$47,MATCH(B$4,$B$48:$G$48,0)),"0.000")&amp;"(d)"</f>
        <v>2.348(d)</v>
      </c>
      <c r="C29" s="16" t="str">
        <f t="shared" si="1"/>
        <v>1.395(d)</v>
      </c>
      <c r="D29" s="16" t="str">
        <f t="shared" si="1"/>
        <v>1.195(d)</v>
      </c>
      <c r="E29" s="16" t="str">
        <f t="shared" si="1"/>
        <v>1.102(d)</v>
      </c>
      <c r="F29" s="16" t="str">
        <f t="shared" si="1"/>
        <v>1.065(d)</v>
      </c>
      <c r="G29" s="16" t="str">
        <f>TEXT(INDEX($B$47:$G$47,MATCH(G$4,$B$48:$G$48,0)),"0.000")&amp;"(d)"</f>
        <v>1.043(d)</v>
      </c>
      <c r="H29" s="376">
        <f>AVERAGE(H20:H21)</f>
        <v>1.0369999999999999</v>
      </c>
      <c r="I29" s="376">
        <f>AVERAGE(I19:I20)</f>
        <v>1.028</v>
      </c>
      <c r="J29" s="376">
        <f>AVERAGE(J17:J19)</f>
        <v>1.024</v>
      </c>
      <c r="K29" s="376">
        <f>AVERAGE(K16:K18)</f>
        <v>1.0199999999999998</v>
      </c>
      <c r="L29" s="376">
        <f>AVERAGE(L15:L17)</f>
        <v>1.018</v>
      </c>
      <c r="M29" s="376">
        <f>AVERAGE(M14:M16)</f>
        <v>1.0153333333333332</v>
      </c>
      <c r="N29" s="376">
        <f>AVERAGE(N13:N15)</f>
        <v>1.0153333333333334</v>
      </c>
      <c r="O29" s="376">
        <f>AVERAGE(O12:O14)</f>
        <v>1.0133333333333332</v>
      </c>
      <c r="P29" s="376">
        <f>AVERAGE(P11:P13)</f>
        <v>1.0133333333333334</v>
      </c>
      <c r="Q29" s="376">
        <f>AVERAGE(Q10:Q12)</f>
        <v>1.0106666666666666</v>
      </c>
      <c r="R29" s="376">
        <f>AVERAGE(R9:R11)</f>
        <v>1.0109999999999999</v>
      </c>
      <c r="S29" s="376">
        <f>AVERAGE(S8:S10)</f>
        <v>1.0096666666666665</v>
      </c>
      <c r="T29" s="376">
        <f>AVERAGE(T7:T9)</f>
        <v>1.0090000000000001</v>
      </c>
      <c r="U29" s="376">
        <f>AVERAGE(U6:U8)</f>
        <v>1.008</v>
      </c>
      <c r="V29" s="376">
        <f>AVERAGE(V5:V7)</f>
        <v>1.008</v>
      </c>
    </row>
    <row r="30" spans="1:22" s="223" customFormat="1" ht="12" customHeight="1">
      <c r="A30" s="1"/>
      <c r="B30" s="16"/>
      <c r="C30" s="16"/>
      <c r="D30" s="16"/>
      <c r="E30" s="16"/>
      <c r="F30" s="16"/>
      <c r="G30" s="16"/>
      <c r="H30" s="16"/>
      <c r="I30" s="16"/>
      <c r="J30" s="16"/>
      <c r="K30" s="16"/>
      <c r="L30" s="16"/>
      <c r="M30" s="16"/>
      <c r="N30" s="16"/>
      <c r="O30" s="16"/>
      <c r="P30" s="16"/>
      <c r="Q30" s="16"/>
      <c r="R30" s="16"/>
      <c r="S30" s="16"/>
      <c r="T30" s="16"/>
      <c r="U30" s="16"/>
      <c r="V30" s="16"/>
    </row>
    <row r="31" spans="1:22" s="223" customFormat="1" ht="12" customHeight="1">
      <c r="A31" s="22" t="s">
        <v>331</v>
      </c>
      <c r="B31" s="16"/>
      <c r="C31" s="16"/>
      <c r="D31" s="16"/>
      <c r="E31" s="16"/>
      <c r="F31" s="16"/>
      <c r="G31" s="16"/>
      <c r="H31" s="16"/>
      <c r="I31" s="16"/>
      <c r="J31" s="16"/>
      <c r="K31" s="16"/>
      <c r="L31" s="16"/>
      <c r="M31" s="16"/>
      <c r="N31" s="16"/>
      <c r="O31" s="16"/>
      <c r="P31" s="16"/>
      <c r="Q31" s="16"/>
      <c r="R31" s="16"/>
      <c r="S31" s="16"/>
      <c r="T31" s="16"/>
      <c r="U31" s="16"/>
      <c r="V31" s="16"/>
    </row>
    <row r="32" spans="1:22" s="223" customFormat="1" ht="12" customHeight="1">
      <c r="A32" s="22" t="s">
        <v>330</v>
      </c>
      <c r="B32" s="376">
        <f t="shared" ref="B32:G32" si="2">B47*C32</f>
        <v>6.7061681113261686</v>
      </c>
      <c r="C32" s="376">
        <f t="shared" si="2"/>
        <v>2.8558194239836538</v>
      </c>
      <c r="D32" s="376">
        <f t="shared" si="2"/>
        <v>2.0474730570887276</v>
      </c>
      <c r="E32" s="376">
        <f t="shared" si="2"/>
        <v>1.7138715867318592</v>
      </c>
      <c r="F32" s="376">
        <f t="shared" si="2"/>
        <v>1.5550149176698307</v>
      </c>
      <c r="G32" s="376">
        <f t="shared" si="2"/>
        <v>1.4600429258807706</v>
      </c>
      <c r="H32" s="376">
        <f t="shared" ref="H32:S32" si="3">H29*I32</f>
        <v>1.3997718453634698</v>
      </c>
      <c r="I32" s="376">
        <f t="shared" si="3"/>
        <v>1.3498282018934136</v>
      </c>
      <c r="J32" s="376">
        <f t="shared" si="3"/>
        <v>1.3130624532037096</v>
      </c>
      <c r="K32" s="376">
        <f t="shared" si="3"/>
        <v>1.2822875519567476</v>
      </c>
      <c r="L32" s="376">
        <f t="shared" si="3"/>
        <v>1.2571446587811252</v>
      </c>
      <c r="M32" s="376">
        <f t="shared" si="3"/>
        <v>1.2349161677614198</v>
      </c>
      <c r="N32" s="376">
        <f t="shared" si="3"/>
        <v>1.2162667443480826</v>
      </c>
      <c r="O32" s="376">
        <f t="shared" si="3"/>
        <v>1.1978989602902979</v>
      </c>
      <c r="P32" s="376">
        <f t="shared" si="3"/>
        <v>1.1821371318654257</v>
      </c>
      <c r="Q32" s="376">
        <f t="shared" si="3"/>
        <v>1.1665826959198278</v>
      </c>
      <c r="R32" s="376">
        <f t="shared" si="3"/>
        <v>1.1542704774932333</v>
      </c>
      <c r="S32" s="376">
        <f t="shared" si="3"/>
        <v>1.1417116493503792</v>
      </c>
      <c r="T32" s="376">
        <f>T29*U32</f>
        <v>1.1307807685873681</v>
      </c>
      <c r="U32" s="376">
        <f>U29*V32</f>
        <v>1.1206945179260337</v>
      </c>
      <c r="V32" s="16">
        <f>'Exhibit 2.6.2'!B25*'Exhibit 2.6.1'!V29</f>
        <v>1.1118001169901128</v>
      </c>
    </row>
    <row r="33" spans="1:22" s="223" customFormat="1" ht="12" customHeight="1">
      <c r="A33" s="17"/>
      <c r="B33" s="16"/>
      <c r="C33" s="16"/>
      <c r="D33" s="16"/>
      <c r="E33" s="16"/>
      <c r="F33" s="16"/>
      <c r="G33" s="16"/>
      <c r="H33" s="16"/>
      <c r="I33" s="16"/>
      <c r="J33" s="16"/>
      <c r="K33" s="16"/>
      <c r="L33" s="16"/>
      <c r="M33" s="16"/>
      <c r="N33" s="16"/>
      <c r="O33" s="16"/>
      <c r="P33" s="16"/>
      <c r="Q33" s="16"/>
      <c r="R33" s="16"/>
      <c r="S33" s="16"/>
      <c r="T33" s="16"/>
      <c r="U33" s="16"/>
      <c r="V33" s="16"/>
    </row>
    <row r="34" spans="1:22" s="223" customFormat="1" ht="12" customHeight="1">
      <c r="A34" s="22" t="s">
        <v>329</v>
      </c>
      <c r="B34" s="16"/>
      <c r="C34" s="16"/>
      <c r="D34" s="16"/>
      <c r="E34" s="16"/>
      <c r="F34" s="16"/>
      <c r="G34" s="16"/>
      <c r="H34" s="16"/>
      <c r="I34" s="16"/>
      <c r="J34" s="16"/>
      <c r="K34" s="16"/>
      <c r="L34" s="16"/>
      <c r="M34" s="16"/>
      <c r="N34" s="16"/>
      <c r="O34" s="16"/>
      <c r="P34" s="16"/>
      <c r="Q34" s="16"/>
      <c r="R34" s="16"/>
      <c r="S34" s="16"/>
      <c r="T34" s="16"/>
      <c r="U34" s="16"/>
      <c r="V34" s="16"/>
    </row>
    <row r="35" spans="1:22" ht="14.5" customHeight="1">
      <c r="A35" s="22" t="s">
        <v>396</v>
      </c>
      <c r="B35" s="376">
        <f>B32*C52</f>
        <v>6.4887262335134972</v>
      </c>
      <c r="C35" s="376">
        <f>C32*C53</f>
        <v>2.7632218737975598</v>
      </c>
      <c r="D35" s="376">
        <f>D32*C54</f>
        <v>1.9810854600417185</v>
      </c>
      <c r="E35" s="376">
        <f>E32*C55</f>
        <v>1.6583007376326018</v>
      </c>
      <c r="F35" s="376">
        <f>C56*F32</f>
        <v>1.5243991706685747</v>
      </c>
      <c r="G35" s="376">
        <f>G32*C57</f>
        <v>1.4436339904915354</v>
      </c>
      <c r="H35" s="298" t="s">
        <v>32</v>
      </c>
      <c r="I35" s="298" t="s">
        <v>32</v>
      </c>
      <c r="J35" s="298" t="s">
        <v>32</v>
      </c>
      <c r="K35" s="298" t="s">
        <v>32</v>
      </c>
      <c r="L35" s="298" t="s">
        <v>32</v>
      </c>
      <c r="M35" s="298" t="s">
        <v>32</v>
      </c>
      <c r="N35" s="298" t="s">
        <v>32</v>
      </c>
      <c r="O35" s="298" t="s">
        <v>32</v>
      </c>
      <c r="P35" s="298" t="s">
        <v>32</v>
      </c>
      <c r="Q35" s="298" t="s">
        <v>32</v>
      </c>
      <c r="R35" s="298" t="s">
        <v>32</v>
      </c>
      <c r="S35" s="298" t="s">
        <v>32</v>
      </c>
      <c r="T35" s="298" t="s">
        <v>32</v>
      </c>
      <c r="U35" s="298" t="s">
        <v>32</v>
      </c>
      <c r="V35" s="298" t="s">
        <v>32</v>
      </c>
    </row>
    <row r="36" spans="1:22" ht="4.9000000000000004" customHeight="1">
      <c r="A36" s="22"/>
      <c r="B36" s="22"/>
      <c r="C36" s="16"/>
      <c r="D36" s="16"/>
      <c r="E36" s="16"/>
      <c r="F36" s="16"/>
      <c r="G36" s="16"/>
      <c r="H36" s="16"/>
      <c r="I36" s="16"/>
      <c r="J36" s="16"/>
      <c r="K36" s="16"/>
      <c r="L36" s="16"/>
      <c r="M36" s="16"/>
      <c r="N36" s="16"/>
      <c r="O36" s="16"/>
      <c r="P36" s="16"/>
      <c r="Q36" s="16"/>
      <c r="R36" s="16"/>
      <c r="S36" s="16"/>
      <c r="T36" s="17"/>
      <c r="U36" s="17"/>
      <c r="V36" s="17"/>
    </row>
    <row r="37" spans="1:22" ht="6" customHeight="1">
      <c r="A37" s="22"/>
      <c r="B37" s="22"/>
      <c r="C37" s="16"/>
      <c r="D37" s="16"/>
      <c r="E37" s="16"/>
      <c r="F37" s="16"/>
      <c r="G37" s="16"/>
      <c r="H37" s="16"/>
      <c r="I37" s="16"/>
      <c r="J37" s="16"/>
      <c r="K37" s="16"/>
      <c r="L37" s="16"/>
      <c r="M37" s="16"/>
      <c r="N37" s="16"/>
      <c r="O37" s="16"/>
      <c r="P37" s="16"/>
      <c r="Q37" s="16"/>
      <c r="R37" s="16"/>
      <c r="S37" s="16"/>
      <c r="T37" s="17"/>
      <c r="U37" s="17"/>
      <c r="V37" s="17"/>
    </row>
    <row r="38" spans="1:22" ht="6" customHeight="1">
      <c r="A38" s="22"/>
      <c r="B38" s="22"/>
      <c r="C38" s="16"/>
      <c r="D38" s="16"/>
      <c r="E38" s="16"/>
      <c r="F38" s="16"/>
      <c r="G38" s="16"/>
      <c r="H38" s="16"/>
      <c r="I38" s="16"/>
      <c r="J38" s="16"/>
      <c r="K38" s="16"/>
      <c r="L38" s="16"/>
      <c r="M38" s="16"/>
      <c r="N38" s="16"/>
      <c r="O38" s="16"/>
      <c r="P38" s="16"/>
      <c r="Q38" s="17"/>
      <c r="R38" s="17"/>
      <c r="S38" s="17"/>
      <c r="T38" s="17"/>
      <c r="U38" s="17"/>
      <c r="V38" s="17"/>
    </row>
    <row r="39" spans="1:22">
      <c r="A39" s="24" t="s">
        <v>37</v>
      </c>
      <c r="B39" s="522" t="s">
        <v>302</v>
      </c>
      <c r="C39" s="522"/>
      <c r="D39" s="522"/>
      <c r="E39" s="522"/>
      <c r="F39" s="522"/>
      <c r="G39" s="522"/>
      <c r="H39" s="522"/>
      <c r="I39" s="522"/>
      <c r="J39" s="522"/>
      <c r="K39" s="522"/>
      <c r="L39" s="522"/>
      <c r="M39" s="522"/>
      <c r="N39" s="522"/>
      <c r="O39" s="522"/>
      <c r="P39" s="522"/>
      <c r="Q39" s="522"/>
      <c r="R39" s="522"/>
      <c r="S39" s="522"/>
      <c r="T39" s="17"/>
      <c r="U39" s="17"/>
      <c r="V39" s="17"/>
    </row>
    <row r="40" spans="1:22" ht="26.15" customHeight="1">
      <c r="A40" s="24" t="s">
        <v>25</v>
      </c>
      <c r="B40" s="518" t="s">
        <v>349</v>
      </c>
      <c r="C40" s="518"/>
      <c r="D40" s="518"/>
      <c r="E40" s="518"/>
      <c r="F40" s="518"/>
      <c r="G40" s="518"/>
      <c r="H40" s="518"/>
      <c r="I40" s="518"/>
      <c r="J40" s="518"/>
      <c r="K40" s="518"/>
      <c r="L40" s="518"/>
      <c r="M40" s="518"/>
      <c r="N40" s="518"/>
      <c r="O40" s="518"/>
      <c r="P40" s="518"/>
      <c r="Q40" s="518"/>
      <c r="R40" s="518"/>
      <c r="S40" s="518"/>
      <c r="T40" s="518"/>
      <c r="U40" s="518"/>
      <c r="V40" s="518"/>
    </row>
    <row r="41" spans="1:22" ht="12.75" customHeight="1">
      <c r="A41" s="24" t="s">
        <v>26</v>
      </c>
      <c r="B41" s="518" t="s">
        <v>515</v>
      </c>
      <c r="C41" s="518"/>
      <c r="D41" s="518"/>
      <c r="E41" s="518"/>
      <c r="F41" s="518"/>
      <c r="G41" s="518"/>
      <c r="H41" s="518"/>
      <c r="I41" s="518"/>
      <c r="J41" s="518"/>
      <c r="K41" s="518"/>
      <c r="L41" s="518"/>
      <c r="M41" s="518"/>
      <c r="N41" s="518"/>
      <c r="O41" s="518"/>
      <c r="P41" s="518"/>
      <c r="Q41" s="518"/>
      <c r="R41" s="518"/>
      <c r="S41" s="518"/>
      <c r="T41" s="518"/>
      <c r="U41" s="518"/>
      <c r="V41" s="518"/>
    </row>
    <row r="42" spans="1:22" ht="12.75" customHeight="1">
      <c r="A42" s="24" t="s">
        <v>30</v>
      </c>
      <c r="B42" s="519" t="s">
        <v>568</v>
      </c>
      <c r="C42" s="519"/>
      <c r="D42" s="519"/>
      <c r="E42" s="519"/>
      <c r="F42" s="519"/>
      <c r="G42" s="519"/>
      <c r="H42" s="519"/>
      <c r="I42" s="519"/>
      <c r="J42" s="519"/>
      <c r="K42" s="519"/>
      <c r="L42" s="519"/>
      <c r="M42" s="519"/>
      <c r="N42" s="519"/>
      <c r="O42" s="519"/>
      <c r="P42" s="519"/>
      <c r="Q42" s="519"/>
      <c r="R42" s="519"/>
      <c r="S42" s="519"/>
      <c r="T42" s="519"/>
      <c r="U42" s="519"/>
      <c r="V42" s="519"/>
    </row>
    <row r="43" spans="1:22" s="308" customFormat="1" ht="12.75" customHeight="1">
      <c r="A43" s="24"/>
      <c r="B43" s="519"/>
      <c r="C43" s="519"/>
      <c r="D43" s="519"/>
      <c r="E43" s="519"/>
      <c r="F43" s="519"/>
      <c r="G43" s="519"/>
      <c r="H43" s="519"/>
      <c r="I43" s="519"/>
      <c r="J43" s="519"/>
      <c r="K43" s="519"/>
      <c r="L43" s="519"/>
      <c r="M43" s="519"/>
      <c r="N43" s="519"/>
      <c r="O43" s="519"/>
      <c r="P43" s="519"/>
      <c r="Q43" s="519"/>
      <c r="R43" s="519"/>
      <c r="S43" s="519"/>
      <c r="T43" s="519"/>
      <c r="U43" s="519"/>
      <c r="V43" s="519"/>
    </row>
    <row r="44" spans="1:22" s="138" customFormat="1" ht="12.75" customHeight="1">
      <c r="A44" s="24" t="s">
        <v>39</v>
      </c>
      <c r="B44" s="152" t="s">
        <v>514</v>
      </c>
      <c r="C44" s="152"/>
      <c r="D44" s="152"/>
      <c r="E44" s="152"/>
      <c r="F44" s="152"/>
      <c r="G44" s="152"/>
      <c r="H44" s="152"/>
      <c r="I44" s="152"/>
      <c r="J44" s="152"/>
      <c r="K44" s="152"/>
      <c r="L44" s="152"/>
      <c r="M44" s="152"/>
      <c r="N44" s="152"/>
      <c r="O44" s="152"/>
      <c r="P44" s="152"/>
      <c r="Q44" s="152"/>
      <c r="R44" s="152"/>
      <c r="S44" s="152"/>
      <c r="T44" s="152"/>
      <c r="U44" s="152"/>
      <c r="V44" s="152"/>
    </row>
    <row r="45" spans="1:22" ht="12.75" customHeight="1">
      <c r="A45" s="336"/>
      <c r="B45" s="16"/>
      <c r="C45" s="16"/>
      <c r="D45" s="16"/>
      <c r="E45" s="16"/>
      <c r="F45" s="16"/>
      <c r="G45" s="16"/>
      <c r="H45" s="17"/>
      <c r="I45" s="17"/>
      <c r="J45" s="17"/>
      <c r="K45" s="17"/>
      <c r="L45" s="17"/>
      <c r="M45" s="17"/>
      <c r="N45" s="17"/>
      <c r="O45" s="17"/>
      <c r="P45" s="17"/>
      <c r="Q45" s="17"/>
      <c r="R45" s="17"/>
      <c r="S45" s="17"/>
      <c r="T45" s="17"/>
      <c r="U45" s="17"/>
      <c r="V45" s="17"/>
    </row>
    <row r="46" spans="1:22">
      <c r="A46" s="44"/>
      <c r="B46" s="16" t="str">
        <f>'Exhibits 2.6.3 - 2.6.8'!D$330</f>
        <v>12-24</v>
      </c>
      <c r="C46" s="16" t="str">
        <f>'Exhibits 2.6.3 - 2.6.8'!E$330</f>
        <v>24-36</v>
      </c>
      <c r="D46" s="16" t="str">
        <f>'Exhibits 2.6.3 - 2.6.8'!F$330</f>
        <v>36-48</v>
      </c>
      <c r="E46" s="16" t="str">
        <f>'Exhibits 2.6.3 - 2.6.8'!G$330</f>
        <v>48-60</v>
      </c>
      <c r="F46" s="16" t="str">
        <f>'Exhibits 2.6.3 - 2.6.8'!H$330</f>
        <v>60-72</v>
      </c>
      <c r="G46" s="16" t="str">
        <f>'Exhibits 2.6.3 - 2.6.8'!I$330</f>
        <v>72-84</v>
      </c>
      <c r="H46" s="17"/>
      <c r="I46" s="17"/>
      <c r="J46" s="17"/>
      <c r="K46" s="17"/>
      <c r="L46" s="17"/>
      <c r="M46" s="17"/>
      <c r="N46" s="17"/>
      <c r="O46" s="17"/>
      <c r="P46" s="17"/>
      <c r="Q46" s="17"/>
      <c r="R46" s="17"/>
      <c r="S46" s="17"/>
      <c r="T46" s="17"/>
      <c r="U46" s="17"/>
      <c r="V46" s="17"/>
    </row>
    <row r="47" spans="1:22">
      <c r="A47" s="337" t="str">
        <f>'Exhibits 2.6.3 - 2.6.8'!C$342</f>
        <v>2-Year Average</v>
      </c>
      <c r="B47" s="16">
        <f>'Exhibits 2.6.3 - 2.6.8'!D$342</f>
        <v>2.3482465505369969</v>
      </c>
      <c r="C47" s="16">
        <f>'Exhibits 2.6.3 - 2.6.8'!E$342</f>
        <v>1.3948019555599438</v>
      </c>
      <c r="D47" s="16">
        <f>'Exhibits 2.6.3 - 2.6.8'!F$342</f>
        <v>1.1946478796541606</v>
      </c>
      <c r="E47" s="16">
        <f>'Exhibits 2.6.3 - 2.6.8'!G$342</f>
        <v>1.1021576495871006</v>
      </c>
      <c r="F47" s="16">
        <f>'Exhibits 2.6.3 - 2.6.8'!H$342</f>
        <v>1.0650473969672969</v>
      </c>
      <c r="G47" s="16">
        <f>'Exhibits 2.6.3 - 2.6.8'!I$342</f>
        <v>1.043057788822471</v>
      </c>
      <c r="H47" s="17"/>
      <c r="I47" s="17"/>
      <c r="J47" s="17"/>
      <c r="K47" s="17"/>
      <c r="L47" s="17"/>
      <c r="M47" s="17"/>
      <c r="N47" s="17"/>
      <c r="O47" s="17"/>
      <c r="P47" s="17"/>
      <c r="Q47" s="17"/>
      <c r="R47" s="17"/>
      <c r="S47" s="17"/>
      <c r="T47" s="17"/>
      <c r="U47" s="17"/>
      <c r="V47" s="17"/>
    </row>
    <row r="48" spans="1:22">
      <c r="A48" s="44"/>
      <c r="B48" s="44" t="str">
        <f t="shared" ref="B48:G48" si="4">RIGHT(B46,2)&amp;"/"&amp;LEFT(B46,FIND("-",B46)-1)</f>
        <v>24/12</v>
      </c>
      <c r="C48" s="44" t="str">
        <f t="shared" si="4"/>
        <v>36/24</v>
      </c>
      <c r="D48" s="44" t="str">
        <f t="shared" si="4"/>
        <v>48/36</v>
      </c>
      <c r="E48" s="44" t="str">
        <f t="shared" si="4"/>
        <v>60/48</v>
      </c>
      <c r="F48" s="44" t="str">
        <f t="shared" si="4"/>
        <v>72/60</v>
      </c>
      <c r="G48" s="44" t="str">
        <f t="shared" si="4"/>
        <v>84/72</v>
      </c>
      <c r="H48" s="17"/>
      <c r="I48" s="17"/>
      <c r="J48" s="17"/>
      <c r="K48" s="17"/>
      <c r="L48" s="17"/>
      <c r="M48" s="17"/>
      <c r="N48" s="17"/>
      <c r="O48" s="17"/>
      <c r="P48" s="17"/>
      <c r="Q48" s="17"/>
      <c r="R48" s="17"/>
      <c r="S48" s="17"/>
      <c r="T48" s="17"/>
      <c r="U48" s="17"/>
      <c r="V48" s="17"/>
    </row>
    <row r="49" spans="1:22">
      <c r="A49" s="349" t="s">
        <v>458</v>
      </c>
      <c r="B49" s="349"/>
      <c r="C49" s="349"/>
      <c r="D49" s="338"/>
      <c r="E49" s="338"/>
      <c r="F49" s="338"/>
      <c r="G49" s="338"/>
      <c r="H49" s="17"/>
      <c r="I49" s="17"/>
      <c r="J49" s="17"/>
      <c r="K49" s="17"/>
      <c r="L49" s="17"/>
      <c r="M49" s="17"/>
      <c r="N49" s="17"/>
      <c r="O49" s="17"/>
      <c r="P49" s="17"/>
      <c r="Q49" s="17"/>
      <c r="R49" s="17"/>
      <c r="S49" s="17"/>
      <c r="T49" s="17"/>
      <c r="U49" s="17"/>
      <c r="V49" s="17"/>
    </row>
    <row r="50" spans="1:22">
      <c r="A50" s="435"/>
      <c r="B50" s="129" t="s">
        <v>459</v>
      </c>
      <c r="C50" s="436"/>
    </row>
    <row r="51" spans="1:22">
      <c r="A51" s="441" t="s">
        <v>186</v>
      </c>
      <c r="B51" s="109" t="s">
        <v>256</v>
      </c>
      <c r="C51" s="442" t="s">
        <v>255</v>
      </c>
    </row>
    <row r="52" spans="1:22">
      <c r="A52" s="443">
        <f>'Exhibit 2.4.1'!A69</f>
        <v>2020</v>
      </c>
      <c r="B52" s="489">
        <f>'Exhibit 2.4.1'!B69</f>
        <v>-3.2424161488798675E-2</v>
      </c>
      <c r="C52" s="444">
        <f>'Exhibit 2.4.1'!C69</f>
        <v>0.96757583851120132</v>
      </c>
    </row>
    <row r="53" spans="1:22">
      <c r="A53" s="437">
        <f>'Exhibit 2.4.1'!A70</f>
        <v>2019</v>
      </c>
      <c r="B53" s="490">
        <f>'Exhibit 2.4.1'!B70</f>
        <v>-3.2424161488798675E-2</v>
      </c>
      <c r="C53" s="438">
        <f>'Exhibit 2.4.1'!C70</f>
        <v>0.96757583851120132</v>
      </c>
    </row>
    <row r="54" spans="1:22">
      <c r="A54" s="437">
        <f>'Exhibit 2.4.1'!A71</f>
        <v>2018</v>
      </c>
      <c r="B54" s="490">
        <f>'Exhibit 2.4.1'!B71</f>
        <v>-3.2424161488798675E-2</v>
      </c>
      <c r="C54" s="438">
        <f>'Exhibit 2.4.1'!C71</f>
        <v>0.96757583851120132</v>
      </c>
    </row>
    <row r="55" spans="1:22">
      <c r="A55" s="437">
        <f>'Exhibit 2.4.1'!A72</f>
        <v>2017</v>
      </c>
      <c r="B55" s="490">
        <f>'Exhibit 2.4.1'!B72</f>
        <v>-3.2424161488798675E-2</v>
      </c>
      <c r="C55" s="438">
        <f>'Exhibit 2.4.1'!C72</f>
        <v>0.96757583851120132</v>
      </c>
    </row>
    <row r="56" spans="1:22">
      <c r="A56" s="437">
        <f>'Exhibit 2.4.1'!A73</f>
        <v>2016</v>
      </c>
      <c r="B56" s="490">
        <f>'Exhibit 2.4.1'!B73</f>
        <v>-1.9688394402758047E-2</v>
      </c>
      <c r="C56" s="438">
        <f>'Exhibit 2.4.1'!C73</f>
        <v>0.98031160559724195</v>
      </c>
    </row>
    <row r="57" spans="1:22">
      <c r="A57" s="439">
        <f>'Exhibit 2.4.1'!A74</f>
        <v>2015</v>
      </c>
      <c r="B57" s="491">
        <f>'Exhibit 2.4.1'!B74</f>
        <v>-1.1238666410671838E-2</v>
      </c>
      <c r="C57" s="440">
        <f>'Exhibit 2.4.1'!C74</f>
        <v>0.98876133358932816</v>
      </c>
    </row>
  </sheetData>
  <mergeCells count="6">
    <mergeCell ref="B41:V41"/>
    <mergeCell ref="B42:V43"/>
    <mergeCell ref="A1:V1"/>
    <mergeCell ref="B3:V3"/>
    <mergeCell ref="B39:S39"/>
    <mergeCell ref="B40:V40"/>
  </mergeCells>
  <printOptions horizontalCentered="1"/>
  <pageMargins left="0.25" right="0.25" top="0.75" bottom="0.75" header="0.3" footer="0.3"/>
  <pageSetup scale="73" orientation="landscape" blackAndWhite="1" r:id="rId1"/>
  <headerFooter scaleWithDoc="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pageSetUpPr fitToPage="1"/>
  </sheetPr>
  <dimension ref="A1:P29"/>
  <sheetViews>
    <sheetView zoomScaleNormal="100" workbookViewId="0"/>
  </sheetViews>
  <sheetFormatPr defaultColWidth="9.1796875" defaultRowHeight="12.5"/>
  <cols>
    <col min="1" max="1" width="13.54296875" style="169" bestFit="1" customWidth="1"/>
    <col min="2" max="13" width="8.26953125" style="169" customWidth="1"/>
    <col min="14" max="14" width="8.26953125" style="469" customWidth="1"/>
    <col min="15" max="15" width="8.26953125" style="169" customWidth="1"/>
    <col min="16" max="16" width="14.453125" style="169" bestFit="1" customWidth="1"/>
    <col min="17" max="16384" width="9.1796875" style="169"/>
  </cols>
  <sheetData>
    <row r="1" spans="1:16" ht="13">
      <c r="A1" s="333" t="str">
        <f>+'Exhibit 2.6.1'!A1&amp;" (Continued)"</f>
        <v>Selected Medical Development Factors - Paid to Ultimate (Continued)</v>
      </c>
      <c r="B1" s="333"/>
      <c r="C1" s="333"/>
      <c r="D1" s="333"/>
      <c r="E1" s="333"/>
      <c r="F1" s="333"/>
      <c r="G1" s="333"/>
      <c r="H1" s="333"/>
      <c r="I1" s="333"/>
      <c r="J1" s="333"/>
      <c r="K1" s="333"/>
      <c r="L1" s="333"/>
      <c r="M1" s="333"/>
      <c r="N1" s="333"/>
      <c r="O1" s="333"/>
      <c r="P1" s="333"/>
    </row>
    <row r="2" spans="1:16" ht="13">
      <c r="A2" s="17"/>
      <c r="B2" s="334"/>
      <c r="C2" s="334"/>
      <c r="D2" s="334"/>
      <c r="E2" s="334"/>
      <c r="F2" s="334"/>
      <c r="G2" s="334"/>
      <c r="H2" s="334"/>
      <c r="I2" s="334"/>
      <c r="J2" s="334"/>
      <c r="K2" s="334"/>
      <c r="L2" s="16"/>
      <c r="M2" s="334"/>
      <c r="N2" s="334"/>
      <c r="O2" s="334"/>
      <c r="P2" s="334"/>
    </row>
    <row r="3" spans="1:16">
      <c r="A3" s="17"/>
      <c r="B3" s="246" t="s">
        <v>18</v>
      </c>
      <c r="C3" s="246"/>
      <c r="D3" s="246"/>
      <c r="E3" s="246"/>
      <c r="F3" s="246"/>
      <c r="G3" s="246"/>
      <c r="H3" s="246"/>
      <c r="I3" s="246"/>
      <c r="J3" s="246"/>
      <c r="K3" s="246"/>
      <c r="L3" s="246"/>
      <c r="M3" s="246"/>
      <c r="N3" s="246"/>
      <c r="O3" s="246"/>
      <c r="P3" s="246"/>
    </row>
    <row r="4" spans="1:16">
      <c r="A4" s="19" t="s">
        <v>19</v>
      </c>
      <c r="B4" s="19" t="s">
        <v>492</v>
      </c>
      <c r="C4" s="19" t="s">
        <v>493</v>
      </c>
      <c r="D4" s="19" t="s">
        <v>494</v>
      </c>
      <c r="E4" s="19" t="s">
        <v>495</v>
      </c>
      <c r="F4" s="19" t="s">
        <v>496</v>
      </c>
      <c r="G4" s="19" t="s">
        <v>497</v>
      </c>
      <c r="H4" s="19" t="s">
        <v>498</v>
      </c>
      <c r="I4" s="19" t="s">
        <v>499</v>
      </c>
      <c r="J4" s="19" t="s">
        <v>500</v>
      </c>
      <c r="K4" s="19" t="s">
        <v>501</v>
      </c>
      <c r="L4" s="19" t="s">
        <v>502</v>
      </c>
      <c r="M4" s="19" t="s">
        <v>503</v>
      </c>
      <c r="N4" s="19" t="s">
        <v>504</v>
      </c>
      <c r="O4" s="19" t="s">
        <v>505</v>
      </c>
      <c r="P4" s="19" t="s">
        <v>524</v>
      </c>
    </row>
    <row r="5" spans="1:16">
      <c r="A5" s="1">
        <f t="shared" ref="A5:A18" si="0">A6-1</f>
        <v>1983</v>
      </c>
      <c r="B5" s="21"/>
      <c r="C5" s="21"/>
      <c r="D5" s="21"/>
      <c r="E5" s="21"/>
      <c r="F5" s="21"/>
      <c r="G5" s="21"/>
      <c r="H5" s="21"/>
      <c r="I5" s="21"/>
      <c r="J5" s="21"/>
      <c r="K5" s="21"/>
      <c r="L5" s="21"/>
      <c r="M5" s="21"/>
      <c r="N5" s="21"/>
      <c r="O5" s="21">
        <v>1.0029999999999999</v>
      </c>
      <c r="P5" s="16"/>
    </row>
    <row r="6" spans="1:16" s="469" customFormat="1">
      <c r="A6" s="1">
        <f t="shared" si="0"/>
        <v>1984</v>
      </c>
      <c r="B6" s="21"/>
      <c r="C6" s="21"/>
      <c r="D6" s="21"/>
      <c r="E6" s="21"/>
      <c r="F6" s="21"/>
      <c r="G6" s="21"/>
      <c r="H6" s="21"/>
      <c r="I6" s="21"/>
      <c r="J6" s="21"/>
      <c r="K6" s="21"/>
      <c r="L6" s="21"/>
      <c r="M6" s="21"/>
      <c r="N6" s="21">
        <v>1.002</v>
      </c>
      <c r="O6" s="21">
        <v>1.002</v>
      </c>
      <c r="P6" s="16"/>
    </row>
    <row r="7" spans="1:16" s="290" customFormat="1">
      <c r="A7" s="1">
        <f t="shared" si="0"/>
        <v>1985</v>
      </c>
      <c r="B7" s="21"/>
      <c r="C7" s="21"/>
      <c r="D7" s="21"/>
      <c r="E7" s="21"/>
      <c r="F7" s="21"/>
      <c r="G7" s="21"/>
      <c r="H7" s="21"/>
      <c r="I7" s="21"/>
      <c r="J7" s="21"/>
      <c r="K7" s="21"/>
      <c r="L7" s="21"/>
      <c r="M7" s="21">
        <v>1.002</v>
      </c>
      <c r="N7" s="21">
        <v>1.002</v>
      </c>
      <c r="O7" s="21">
        <v>1.002</v>
      </c>
      <c r="P7" s="16"/>
    </row>
    <row r="8" spans="1:16">
      <c r="A8" s="1">
        <f t="shared" si="0"/>
        <v>1986</v>
      </c>
      <c r="B8" s="21"/>
      <c r="C8" s="21"/>
      <c r="D8" s="21"/>
      <c r="E8" s="21"/>
      <c r="F8" s="21"/>
      <c r="G8" s="21"/>
      <c r="H8" s="21"/>
      <c r="I8" s="21"/>
      <c r="J8" s="21"/>
      <c r="K8" s="21"/>
      <c r="L8" s="21">
        <v>1.004</v>
      </c>
      <c r="M8" s="21">
        <v>1.0029999999999999</v>
      </c>
      <c r="N8" s="21">
        <v>1.004</v>
      </c>
      <c r="O8" s="21" t="s">
        <v>34</v>
      </c>
      <c r="P8" s="16"/>
    </row>
    <row r="9" spans="1:16">
      <c r="A9" s="1">
        <f t="shared" si="0"/>
        <v>1987</v>
      </c>
      <c r="B9" s="21"/>
      <c r="C9" s="21"/>
      <c r="D9" s="21"/>
      <c r="E9" s="21"/>
      <c r="F9" s="21"/>
      <c r="G9" s="21"/>
      <c r="H9" s="21"/>
      <c r="I9" s="21"/>
      <c r="J9" s="21"/>
      <c r="K9" s="21">
        <v>1.004</v>
      </c>
      <c r="L9" s="21">
        <v>1.002</v>
      </c>
      <c r="M9" s="21">
        <v>1.0029999999999999</v>
      </c>
      <c r="N9" s="21" t="s">
        <v>34</v>
      </c>
      <c r="O9" s="21" t="s">
        <v>34</v>
      </c>
      <c r="P9" s="16"/>
    </row>
    <row r="10" spans="1:16">
      <c r="A10" s="1">
        <f t="shared" si="0"/>
        <v>1988</v>
      </c>
      <c r="B10" s="21"/>
      <c r="C10" s="21"/>
      <c r="D10" s="21"/>
      <c r="E10" s="21"/>
      <c r="F10" s="21"/>
      <c r="G10" s="21"/>
      <c r="H10" s="21"/>
      <c r="I10" s="21"/>
      <c r="J10" s="21">
        <v>1.004</v>
      </c>
      <c r="K10" s="21">
        <v>1.0029999999999999</v>
      </c>
      <c r="L10" s="21">
        <v>1.002</v>
      </c>
      <c r="M10" s="21" t="s">
        <v>34</v>
      </c>
      <c r="N10" s="21" t="s">
        <v>34</v>
      </c>
      <c r="O10" s="21" t="s">
        <v>34</v>
      </c>
      <c r="P10" s="16"/>
    </row>
    <row r="11" spans="1:16">
      <c r="A11" s="1">
        <f t="shared" si="0"/>
        <v>1989</v>
      </c>
      <c r="B11" s="21"/>
      <c r="C11" s="21"/>
      <c r="D11" s="21"/>
      <c r="E11" s="21"/>
      <c r="F11" s="21"/>
      <c r="G11" s="21"/>
      <c r="H11" s="21"/>
      <c r="I11" s="21">
        <v>1.004</v>
      </c>
      <c r="J11" s="21">
        <v>1.0029999999999999</v>
      </c>
      <c r="K11" s="21">
        <v>1.0049999999999999</v>
      </c>
      <c r="L11" s="21" t="s">
        <v>34</v>
      </c>
      <c r="M11" s="21" t="s">
        <v>34</v>
      </c>
      <c r="N11" s="21" t="s">
        <v>34</v>
      </c>
      <c r="O11" s="21" t="s">
        <v>34</v>
      </c>
      <c r="P11" s="16"/>
    </row>
    <row r="12" spans="1:16">
      <c r="A12" s="1">
        <f t="shared" si="0"/>
        <v>1990</v>
      </c>
      <c r="B12" s="21"/>
      <c r="C12" s="21"/>
      <c r="D12" s="21"/>
      <c r="E12" s="21"/>
      <c r="F12" s="21"/>
      <c r="G12" s="21"/>
      <c r="H12" s="21">
        <v>1.002</v>
      </c>
      <c r="I12" s="21">
        <v>1.0029999999999999</v>
      </c>
      <c r="J12" s="21">
        <v>1.002</v>
      </c>
      <c r="K12" s="21" t="s">
        <v>34</v>
      </c>
      <c r="L12" s="21" t="s">
        <v>34</v>
      </c>
      <c r="M12" s="21" t="s">
        <v>34</v>
      </c>
      <c r="N12" s="21" t="s">
        <v>34</v>
      </c>
      <c r="O12" s="21" t="s">
        <v>34</v>
      </c>
      <c r="P12" s="16"/>
    </row>
    <row r="13" spans="1:16">
      <c r="A13" s="1">
        <f t="shared" si="0"/>
        <v>1991</v>
      </c>
      <c r="B13" s="21"/>
      <c r="C13" s="21"/>
      <c r="D13" s="21"/>
      <c r="E13" s="21"/>
      <c r="F13" s="21"/>
      <c r="G13" s="21">
        <v>1.004</v>
      </c>
      <c r="H13" s="21">
        <v>1.004</v>
      </c>
      <c r="I13" s="21">
        <v>1.0029999999999999</v>
      </c>
      <c r="J13" s="21" t="s">
        <v>34</v>
      </c>
      <c r="K13" s="21" t="s">
        <v>34</v>
      </c>
      <c r="L13" s="21" t="s">
        <v>34</v>
      </c>
      <c r="M13" s="21" t="s">
        <v>34</v>
      </c>
      <c r="N13" s="21" t="s">
        <v>34</v>
      </c>
      <c r="O13" s="21" t="s">
        <v>34</v>
      </c>
      <c r="P13" s="16"/>
    </row>
    <row r="14" spans="1:16">
      <c r="A14" s="1">
        <f t="shared" si="0"/>
        <v>1992</v>
      </c>
      <c r="B14" s="21"/>
      <c r="C14" s="21"/>
      <c r="D14" s="21"/>
      <c r="E14" s="21"/>
      <c r="F14" s="21">
        <v>1.004</v>
      </c>
      <c r="G14" s="21">
        <v>1.006</v>
      </c>
      <c r="H14" s="21">
        <v>1.0029999999999999</v>
      </c>
      <c r="I14" s="21" t="s">
        <v>34</v>
      </c>
      <c r="J14" s="21" t="s">
        <v>34</v>
      </c>
      <c r="K14" s="21" t="s">
        <v>34</v>
      </c>
      <c r="L14" s="21" t="s">
        <v>34</v>
      </c>
      <c r="M14" s="21" t="s">
        <v>34</v>
      </c>
      <c r="N14" s="21" t="s">
        <v>34</v>
      </c>
      <c r="O14" s="21" t="s">
        <v>34</v>
      </c>
      <c r="P14" s="16"/>
    </row>
    <row r="15" spans="1:16">
      <c r="A15" s="1">
        <f t="shared" si="0"/>
        <v>1993</v>
      </c>
      <c r="B15" s="21"/>
      <c r="C15" s="21"/>
      <c r="D15" s="21"/>
      <c r="E15" s="21">
        <v>1.0049999999999999</v>
      </c>
      <c r="F15" s="21">
        <v>1.0089999999999999</v>
      </c>
      <c r="G15" s="21">
        <v>1.004</v>
      </c>
      <c r="H15" s="21" t="s">
        <v>34</v>
      </c>
      <c r="I15" s="21" t="s">
        <v>34</v>
      </c>
      <c r="J15" s="21" t="s">
        <v>34</v>
      </c>
      <c r="K15" s="21" t="s">
        <v>34</v>
      </c>
      <c r="L15" s="21" t="s">
        <v>34</v>
      </c>
      <c r="M15" s="21" t="s">
        <v>34</v>
      </c>
      <c r="N15" s="21" t="s">
        <v>34</v>
      </c>
      <c r="O15" s="21" t="s">
        <v>34</v>
      </c>
      <c r="P15" s="16"/>
    </row>
    <row r="16" spans="1:16">
      <c r="A16" s="1">
        <f t="shared" si="0"/>
        <v>1994</v>
      </c>
      <c r="B16" s="21"/>
      <c r="C16" s="21"/>
      <c r="D16" s="21">
        <v>1.0049999999999999</v>
      </c>
      <c r="E16" s="21">
        <v>1.0049999999999999</v>
      </c>
      <c r="F16" s="21">
        <v>1.0049999999999999</v>
      </c>
      <c r="G16" s="21" t="s">
        <v>34</v>
      </c>
      <c r="H16" s="21" t="s">
        <v>34</v>
      </c>
      <c r="I16" s="21" t="s">
        <v>34</v>
      </c>
      <c r="J16" s="21" t="s">
        <v>34</v>
      </c>
      <c r="K16" s="21" t="s">
        <v>34</v>
      </c>
      <c r="L16" s="21" t="s">
        <v>34</v>
      </c>
      <c r="M16" s="21" t="s">
        <v>34</v>
      </c>
      <c r="N16" s="21" t="s">
        <v>34</v>
      </c>
      <c r="O16" s="21" t="s">
        <v>34</v>
      </c>
      <c r="P16" s="16"/>
    </row>
    <row r="17" spans="1:16">
      <c r="A17" s="1">
        <f t="shared" si="0"/>
        <v>1995</v>
      </c>
      <c r="B17" s="21"/>
      <c r="C17" s="21">
        <v>1.008</v>
      </c>
      <c r="D17" s="21">
        <v>1.01</v>
      </c>
      <c r="E17" s="21">
        <v>1.0069999999999999</v>
      </c>
      <c r="F17" s="21" t="s">
        <v>34</v>
      </c>
      <c r="G17" s="21" t="s">
        <v>34</v>
      </c>
      <c r="H17" s="21" t="s">
        <v>34</v>
      </c>
      <c r="I17" s="21" t="s">
        <v>34</v>
      </c>
      <c r="J17" s="21" t="s">
        <v>34</v>
      </c>
      <c r="K17" s="21" t="s">
        <v>34</v>
      </c>
      <c r="L17" s="21" t="s">
        <v>34</v>
      </c>
      <c r="M17" s="21" t="s">
        <v>34</v>
      </c>
      <c r="N17" s="21" t="s">
        <v>34</v>
      </c>
      <c r="O17" s="21" t="s">
        <v>34</v>
      </c>
      <c r="P17" s="16"/>
    </row>
    <row r="18" spans="1:16">
      <c r="A18" s="1">
        <f t="shared" si="0"/>
        <v>1996</v>
      </c>
      <c r="B18" s="21">
        <v>1.01</v>
      </c>
      <c r="C18" s="21">
        <v>1.0089999999999999</v>
      </c>
      <c r="D18" s="21">
        <v>1.0069999999999999</v>
      </c>
      <c r="E18" s="21" t="s">
        <v>34</v>
      </c>
      <c r="F18" s="21" t="s">
        <v>34</v>
      </c>
      <c r="G18" s="21" t="s">
        <v>34</v>
      </c>
      <c r="H18" s="21" t="s">
        <v>34</v>
      </c>
      <c r="I18" s="21" t="s">
        <v>34</v>
      </c>
      <c r="J18" s="21" t="s">
        <v>34</v>
      </c>
      <c r="K18" s="21" t="s">
        <v>34</v>
      </c>
      <c r="L18" s="21" t="s">
        <v>34</v>
      </c>
      <c r="M18" s="21" t="s">
        <v>34</v>
      </c>
      <c r="N18" s="21" t="s">
        <v>34</v>
      </c>
      <c r="O18" s="21" t="s">
        <v>34</v>
      </c>
      <c r="P18" s="16"/>
    </row>
    <row r="19" spans="1:16">
      <c r="A19" s="1">
        <f>A20-1</f>
        <v>1997</v>
      </c>
      <c r="B19" s="21">
        <v>1.008</v>
      </c>
      <c r="C19" s="21">
        <v>1.006</v>
      </c>
      <c r="D19" s="21" t="s">
        <v>34</v>
      </c>
      <c r="E19" s="21" t="s">
        <v>34</v>
      </c>
      <c r="F19" s="21" t="s">
        <v>34</v>
      </c>
      <c r="G19" s="21" t="s">
        <v>34</v>
      </c>
      <c r="H19" s="21" t="s">
        <v>34</v>
      </c>
      <c r="I19" s="21" t="s">
        <v>34</v>
      </c>
      <c r="J19" s="21" t="s">
        <v>34</v>
      </c>
      <c r="K19" s="21" t="s">
        <v>34</v>
      </c>
      <c r="L19" s="21" t="s">
        <v>34</v>
      </c>
      <c r="M19" s="21" t="s">
        <v>34</v>
      </c>
      <c r="N19" s="21" t="s">
        <v>34</v>
      </c>
      <c r="O19" s="21" t="s">
        <v>34</v>
      </c>
      <c r="P19" s="16"/>
    </row>
    <row r="20" spans="1:16">
      <c r="A20" s="1">
        <v>1998</v>
      </c>
      <c r="B20" s="21">
        <v>1.008</v>
      </c>
      <c r="C20" s="21" t="s">
        <v>34</v>
      </c>
      <c r="D20" s="21" t="s">
        <v>34</v>
      </c>
      <c r="E20" s="21" t="s">
        <v>34</v>
      </c>
      <c r="F20" s="21" t="s">
        <v>34</v>
      </c>
      <c r="G20" s="21" t="s">
        <v>34</v>
      </c>
      <c r="H20" s="21" t="s">
        <v>34</v>
      </c>
      <c r="I20" s="21" t="s">
        <v>34</v>
      </c>
      <c r="J20" s="21" t="s">
        <v>34</v>
      </c>
      <c r="K20" s="21" t="s">
        <v>34</v>
      </c>
      <c r="L20" s="21" t="s">
        <v>34</v>
      </c>
      <c r="M20" s="21" t="s">
        <v>34</v>
      </c>
      <c r="N20" s="21" t="s">
        <v>34</v>
      </c>
      <c r="O20" s="21" t="s">
        <v>34</v>
      </c>
      <c r="P20" s="16"/>
    </row>
    <row r="21" spans="1:16">
      <c r="A21" s="1"/>
      <c r="B21" s="16"/>
      <c r="C21" s="16"/>
      <c r="D21" s="16"/>
      <c r="E21" s="16"/>
      <c r="F21" s="16"/>
      <c r="G21" s="16"/>
      <c r="H21" s="16"/>
      <c r="I21" s="16"/>
      <c r="J21" s="16"/>
      <c r="K21" s="16"/>
      <c r="L21" s="16"/>
      <c r="M21" s="16"/>
      <c r="N21" s="16"/>
      <c r="O21" s="16"/>
      <c r="P21" s="16"/>
    </row>
    <row r="22" spans="1:16">
      <c r="A22" s="18"/>
      <c r="B22" s="16"/>
      <c r="P22" s="16"/>
    </row>
    <row r="23" spans="1:16" s="307" customFormat="1">
      <c r="A23" s="1" t="s">
        <v>397</v>
      </c>
      <c r="B23" s="16">
        <f>AVERAGE(B18:B20)</f>
        <v>1.0086666666666666</v>
      </c>
      <c r="C23" s="16">
        <f>AVERAGE(C17:C19)</f>
        <v>1.0076666666666665</v>
      </c>
      <c r="D23" s="16">
        <f>AVERAGE(D16:D18)</f>
        <v>1.0073333333333332</v>
      </c>
      <c r="E23" s="16">
        <f>AVERAGE(E15:E17)</f>
        <v>1.0056666666666665</v>
      </c>
      <c r="F23" s="16">
        <f>AVERAGE(F14:F16)</f>
        <v>1.006</v>
      </c>
      <c r="G23" s="16">
        <f>AVERAGE(G13:G15)</f>
        <v>1.0046666666666666</v>
      </c>
      <c r="H23" s="16">
        <f>AVERAGE(H12:H14)</f>
        <v>1.0030000000000001</v>
      </c>
      <c r="I23" s="16">
        <f>AVERAGE(I11:I13)</f>
        <v>1.0033333333333332</v>
      </c>
      <c r="J23" s="16">
        <f>AVERAGE(J10:J12)</f>
        <v>1.0029999999999999</v>
      </c>
      <c r="K23" s="16">
        <f>AVERAGE(K9:K11)</f>
        <v>1.0039999999999998</v>
      </c>
      <c r="L23" s="16">
        <f>AVERAGE(L8:L10)</f>
        <v>1.0026666666666666</v>
      </c>
      <c r="M23" s="16">
        <f>AVERAGE(M7:M9)</f>
        <v>1.0026666666666666</v>
      </c>
      <c r="N23" s="16">
        <f>AVERAGE(N6:N8)</f>
        <v>1.0026666666666666</v>
      </c>
      <c r="O23" s="16">
        <f>AVERAGE(O5:O7)</f>
        <v>1.0023333333333333</v>
      </c>
      <c r="P23" s="21">
        <v>1.073</v>
      </c>
    </row>
    <row r="24" spans="1:16">
      <c r="A24" s="1" t="s">
        <v>398</v>
      </c>
      <c r="B24" s="21">
        <v>1.0086666666666666</v>
      </c>
      <c r="C24" s="21">
        <v>1.0053965913767617</v>
      </c>
      <c r="D24" s="21">
        <v>1.0051993761554305</v>
      </c>
      <c r="E24" s="21">
        <v>1.0040606541253829</v>
      </c>
      <c r="F24" s="21">
        <v>1.0043700983285111</v>
      </c>
      <c r="G24" s="21">
        <v>1.0034843352204577</v>
      </c>
      <c r="H24" s="21">
        <v>1.0022873959228085</v>
      </c>
      <c r="I24" s="21">
        <v>1.0025787513543014</v>
      </c>
      <c r="J24" s="21">
        <v>1.002303535375819</v>
      </c>
      <c r="K24" s="21">
        <v>1.0030684989983385</v>
      </c>
      <c r="L24" s="21">
        <v>1.002</v>
      </c>
      <c r="M24" s="21">
        <v>1.0022775772444525</v>
      </c>
      <c r="N24" s="21">
        <v>1.00202451310618</v>
      </c>
      <c r="O24" s="21">
        <v>1.0015183848296352</v>
      </c>
      <c r="P24" s="16">
        <f>P25</f>
        <v>1.0501006990101247</v>
      </c>
    </row>
    <row r="25" spans="1:16">
      <c r="A25" s="1" t="s">
        <v>21</v>
      </c>
      <c r="B25" s="16">
        <f t="shared" ref="B25:K25" si="1">B24*C25</f>
        <v>1.1029763065378104</v>
      </c>
      <c r="C25" s="16">
        <f t="shared" si="1"/>
        <v>1.0934993124961769</v>
      </c>
      <c r="D25" s="16">
        <f t="shared" si="1"/>
        <v>1.0876298187949591</v>
      </c>
      <c r="E25" s="16">
        <f t="shared" si="1"/>
        <v>1.0820040726197016</v>
      </c>
      <c r="F25" s="16">
        <f t="shared" si="1"/>
        <v>1.0776281972349704</v>
      </c>
      <c r="G25" s="16">
        <f t="shared" si="1"/>
        <v>1.0729393467889741</v>
      </c>
      <c r="H25" s="16">
        <f t="shared" si="1"/>
        <v>1.069213847322547</v>
      </c>
      <c r="I25" s="16">
        <f t="shared" si="1"/>
        <v>1.0667737134797741</v>
      </c>
      <c r="J25" s="16">
        <f t="shared" si="1"/>
        <v>1.0640298450757679</v>
      </c>
      <c r="K25" s="16">
        <f t="shared" si="1"/>
        <v>1.0615844477459659</v>
      </c>
      <c r="L25" s="16">
        <f t="shared" ref="L25" si="2">L24*M25</f>
        <v>1.0583369418998416</v>
      </c>
      <c r="M25" s="16">
        <f t="shared" ref="M25" si="3">M24*N25</f>
        <v>1.0562244929140137</v>
      </c>
      <c r="N25" s="16">
        <f t="shared" ref="N25" si="4">N24*O25</f>
        <v>1.0538243266080807</v>
      </c>
      <c r="O25" s="16">
        <f t="shared" ref="O25" si="5">O24*P25</f>
        <v>1.051695155981091</v>
      </c>
      <c r="P25" s="21">
        <v>1.0501006990101247</v>
      </c>
    </row>
    <row r="26" spans="1:16">
      <c r="A26" s="17"/>
      <c r="B26" s="137"/>
      <c r="C26" s="137"/>
      <c r="D26" s="137"/>
      <c r="E26" s="137"/>
      <c r="F26" s="137"/>
      <c r="G26" s="137"/>
      <c r="H26" s="137"/>
      <c r="I26" s="137"/>
      <c r="J26" s="137"/>
      <c r="K26" s="137"/>
      <c r="L26" s="137"/>
      <c r="M26" s="137"/>
      <c r="N26" s="137"/>
      <c r="O26" s="137"/>
      <c r="P26" s="137"/>
    </row>
    <row r="27" spans="1:16" ht="12.75" customHeight="1">
      <c r="A27" s="3" t="s">
        <v>42</v>
      </c>
      <c r="B27" s="44" t="s">
        <v>517</v>
      </c>
      <c r="C27" s="309"/>
      <c r="D27" s="309"/>
      <c r="E27" s="309"/>
      <c r="F27" s="309"/>
      <c r="G27" s="309"/>
      <c r="H27" s="309"/>
      <c r="I27" s="309"/>
      <c r="J27" s="309"/>
      <c r="K27" s="309"/>
      <c r="L27" s="309"/>
      <c r="M27" s="309"/>
      <c r="N27" s="309"/>
      <c r="O27" s="309"/>
      <c r="P27" s="309"/>
    </row>
    <row r="28" spans="1:16" ht="12.75" customHeight="1">
      <c r="A28" s="24" t="s">
        <v>340</v>
      </c>
      <c r="B28" s="309" t="s">
        <v>518</v>
      </c>
      <c r="C28" s="335"/>
      <c r="D28" s="335"/>
      <c r="E28" s="335"/>
      <c r="F28" s="335"/>
      <c r="G28" s="335"/>
      <c r="H28" s="335"/>
      <c r="I28" s="335"/>
      <c r="J28" s="335"/>
      <c r="K28" s="335"/>
      <c r="L28" s="335"/>
      <c r="M28" s="335"/>
      <c r="N28" s="335"/>
      <c r="O28" s="335"/>
      <c r="P28" s="335"/>
    </row>
    <row r="29" spans="1:16">
      <c r="A29" s="24"/>
      <c r="B29" s="309" t="s">
        <v>457</v>
      </c>
      <c r="C29" s="44"/>
      <c r="D29" s="44"/>
      <c r="E29" s="44"/>
      <c r="F29" s="44"/>
      <c r="G29" s="44"/>
      <c r="H29" s="44"/>
      <c r="I29" s="44"/>
      <c r="J29" s="44"/>
      <c r="K29" s="44"/>
      <c r="L29" s="44"/>
      <c r="M29" s="44"/>
      <c r="N29" s="44"/>
      <c r="O29" s="44"/>
      <c r="P29" s="44"/>
    </row>
  </sheetData>
  <pageMargins left="0.7" right="0.7" top="0.75" bottom="0.75" header="0.3" footer="0.3"/>
  <pageSetup scale="90" orientation="landscape" blackAndWhite="1" horizontalDpi="1200" verticalDpi="1200" r:id="rId1"/>
  <headerFooter scaleWithDoc="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27F317-D2AE-40D0-AEBA-107AD2799705}">
  <dimension ref="A1:L349"/>
  <sheetViews>
    <sheetView zoomScaleNormal="100" zoomScaleSheetLayoutView="85" workbookViewId="0"/>
  </sheetViews>
  <sheetFormatPr defaultColWidth="8.81640625" defaultRowHeight="14.5"/>
  <cols>
    <col min="1" max="1" width="8.7265625" customWidth="1"/>
    <col min="2" max="2" width="7.7265625" customWidth="1"/>
    <col min="3" max="3" width="15.7265625" bestFit="1" customWidth="1"/>
    <col min="4" max="11" width="10" customWidth="1"/>
    <col min="12" max="12" width="12.7265625" customWidth="1"/>
  </cols>
  <sheetData>
    <row r="1" spans="1:12" ht="45" customHeight="1">
      <c r="L1" s="143" t="s">
        <v>383</v>
      </c>
    </row>
    <row r="2" spans="1:12" s="469" customFormat="1" ht="13">
      <c r="A2" s="245" t="s">
        <v>35</v>
      </c>
      <c r="B2" s="245"/>
      <c r="C2" s="245"/>
      <c r="D2" s="245"/>
      <c r="E2" s="245"/>
      <c r="F2" s="245"/>
      <c r="G2" s="245"/>
      <c r="H2" s="245"/>
      <c r="I2" s="245"/>
      <c r="J2" s="245"/>
      <c r="K2" s="245"/>
      <c r="L2" s="245"/>
    </row>
    <row r="3" spans="1:12" s="469" customFormat="1" ht="13">
      <c r="A3" s="245" t="s">
        <v>261</v>
      </c>
      <c r="B3" s="245"/>
      <c r="C3" s="245"/>
      <c r="D3" s="245"/>
      <c r="E3" s="245"/>
      <c r="F3" s="245"/>
      <c r="G3" s="245"/>
      <c r="H3" s="245"/>
      <c r="I3" s="245"/>
      <c r="J3" s="245"/>
      <c r="K3" s="245"/>
      <c r="L3" s="245"/>
    </row>
    <row r="4" spans="1:12" s="469" customFormat="1" ht="13">
      <c r="A4" s="245" t="s">
        <v>262</v>
      </c>
      <c r="B4" s="245"/>
      <c r="C4" s="245"/>
      <c r="D4" s="245"/>
      <c r="E4" s="245"/>
      <c r="F4" s="245"/>
      <c r="G4" s="245"/>
      <c r="H4" s="245"/>
      <c r="I4" s="245"/>
      <c r="J4" s="245"/>
      <c r="K4" s="245"/>
      <c r="L4" s="245"/>
    </row>
    <row r="5" spans="1:12" s="469" customFormat="1" ht="13">
      <c r="A5" s="299"/>
      <c r="B5" s="299"/>
      <c r="C5" s="299"/>
      <c r="D5" s="299"/>
      <c r="E5" s="299"/>
      <c r="F5" s="299"/>
      <c r="G5" s="299"/>
      <c r="H5" s="299"/>
      <c r="I5" s="299"/>
      <c r="J5" s="299"/>
      <c r="K5" s="299"/>
      <c r="L5" s="299"/>
    </row>
    <row r="6" spans="1:12" s="469" customFormat="1" ht="12.5">
      <c r="A6" s="470"/>
      <c r="B6" s="470" t="s">
        <v>263</v>
      </c>
      <c r="C6" s="470"/>
      <c r="D6" s="470"/>
      <c r="E6" s="470"/>
      <c r="F6" s="470"/>
      <c r="G6" s="470"/>
      <c r="H6" s="470"/>
      <c r="I6" s="470"/>
      <c r="J6" s="470"/>
      <c r="K6" s="470"/>
    </row>
    <row r="7" spans="1:12" s="469" customFormat="1" ht="12.5"/>
    <row r="8" spans="1:12" s="469" customFormat="1" ht="12.5">
      <c r="C8" s="252" t="s">
        <v>203</v>
      </c>
      <c r="D8" s="513" t="s">
        <v>308</v>
      </c>
      <c r="E8" s="513"/>
      <c r="F8" s="513"/>
      <c r="G8" s="513"/>
      <c r="H8" s="513"/>
      <c r="I8" s="513"/>
      <c r="J8" s="513"/>
      <c r="K8" s="252"/>
      <c r="L8" s="252"/>
    </row>
    <row r="9" spans="1:12" s="469" customFormat="1" ht="12.5">
      <c r="C9" s="26" t="s">
        <v>8</v>
      </c>
      <c r="D9" s="77">
        <v>12</v>
      </c>
      <c r="E9" s="77">
        <f>D9+12</f>
        <v>24</v>
      </c>
      <c r="F9" s="77">
        <f t="shared" ref="F9:J9" si="0">E9+12</f>
        <v>36</v>
      </c>
      <c r="G9" s="77">
        <f t="shared" si="0"/>
        <v>48</v>
      </c>
      <c r="H9" s="77">
        <f t="shared" si="0"/>
        <v>60</v>
      </c>
      <c r="I9" s="77">
        <f t="shared" si="0"/>
        <v>72</v>
      </c>
      <c r="J9" s="77">
        <f t="shared" si="0"/>
        <v>84</v>
      </c>
      <c r="K9" s="77"/>
      <c r="L9" s="26"/>
    </row>
    <row r="10" spans="1:12" s="469" customFormat="1" ht="4.5" customHeight="1"/>
    <row r="11" spans="1:12" s="469" customFormat="1" ht="12.5">
      <c r="C11" s="252">
        <f t="shared" ref="C11:C18" si="1">C12-1</f>
        <v>2011</v>
      </c>
      <c r="D11" s="365"/>
      <c r="E11" s="365"/>
      <c r="F11" s="365"/>
      <c r="G11" s="365"/>
      <c r="H11" s="365"/>
      <c r="I11" s="365"/>
      <c r="J11" s="365">
        <v>120831.58586522419</v>
      </c>
      <c r="K11" s="73"/>
    </row>
    <row r="12" spans="1:12" s="469" customFormat="1" ht="12.5">
      <c r="C12" s="252">
        <f t="shared" si="1"/>
        <v>2012</v>
      </c>
      <c r="D12" s="365"/>
      <c r="E12" s="365"/>
      <c r="F12" s="365"/>
      <c r="G12" s="365"/>
      <c r="H12" s="365"/>
      <c r="I12" s="365">
        <v>127904.79740164625</v>
      </c>
      <c r="J12" s="365">
        <v>128040.44643283606</v>
      </c>
      <c r="K12" s="73"/>
    </row>
    <row r="13" spans="1:12" s="469" customFormat="1" ht="12.5">
      <c r="C13" s="252">
        <f t="shared" si="1"/>
        <v>2013</v>
      </c>
      <c r="D13" s="365"/>
      <c r="E13" s="365"/>
      <c r="F13" s="365"/>
      <c r="G13" s="365"/>
      <c r="H13" s="365">
        <v>135756.89756352379</v>
      </c>
      <c r="I13" s="365">
        <v>136000.82517816502</v>
      </c>
      <c r="J13" s="365">
        <v>136198.00000000003</v>
      </c>
      <c r="K13" s="73"/>
    </row>
    <row r="14" spans="1:12" s="469" customFormat="1" ht="12.5">
      <c r="C14" s="252">
        <f t="shared" si="1"/>
        <v>2014</v>
      </c>
      <c r="D14" s="365"/>
      <c r="E14" s="365"/>
      <c r="F14" s="365"/>
      <c r="G14" s="365">
        <v>140197.84105804074</v>
      </c>
      <c r="H14" s="365">
        <v>140770.52571130439</v>
      </c>
      <c r="I14" s="365">
        <v>141073</v>
      </c>
      <c r="J14" s="365">
        <v>141113</v>
      </c>
      <c r="K14" s="73"/>
    </row>
    <row r="15" spans="1:12" s="469" customFormat="1" ht="12.5">
      <c r="C15" s="252">
        <f t="shared" si="1"/>
        <v>2015</v>
      </c>
      <c r="D15" s="365"/>
      <c r="E15" s="365"/>
      <c r="F15" s="365">
        <v>143582.55353861884</v>
      </c>
      <c r="G15" s="365">
        <v>144410.85094008595</v>
      </c>
      <c r="H15" s="365">
        <v>144826</v>
      </c>
      <c r="I15" s="365">
        <v>145185</v>
      </c>
      <c r="J15" s="365"/>
      <c r="K15" s="73"/>
    </row>
    <row r="16" spans="1:12" s="469" customFormat="1" ht="12.5">
      <c r="C16" s="252">
        <f t="shared" si="1"/>
        <v>2016</v>
      </c>
      <c r="D16" s="365"/>
      <c r="E16" s="365">
        <v>142750</v>
      </c>
      <c r="F16" s="365">
        <v>146833</v>
      </c>
      <c r="G16" s="365">
        <v>147842</v>
      </c>
      <c r="H16" s="365">
        <v>148278</v>
      </c>
      <c r="I16" s="365"/>
      <c r="J16" s="365"/>
      <c r="K16" s="73"/>
    </row>
    <row r="17" spans="1:12" s="469" customFormat="1" ht="12.5">
      <c r="C17" s="252">
        <f t="shared" si="1"/>
        <v>2017</v>
      </c>
      <c r="D17" s="365">
        <v>118037</v>
      </c>
      <c r="E17" s="365">
        <v>143999</v>
      </c>
      <c r="F17" s="365">
        <v>147352</v>
      </c>
      <c r="G17" s="365">
        <v>148427</v>
      </c>
      <c r="H17" s="365"/>
      <c r="I17" s="365"/>
      <c r="J17" s="365"/>
      <c r="K17" s="73"/>
    </row>
    <row r="18" spans="1:12" s="469" customFormat="1" ht="12.5">
      <c r="C18" s="252">
        <f t="shared" si="1"/>
        <v>2018</v>
      </c>
      <c r="D18" s="365">
        <v>119874</v>
      </c>
      <c r="E18" s="365">
        <v>146953</v>
      </c>
      <c r="F18" s="365">
        <v>150393</v>
      </c>
      <c r="G18" s="365"/>
      <c r="H18" s="365"/>
      <c r="I18" s="365"/>
      <c r="J18" s="365"/>
      <c r="K18" s="73"/>
    </row>
    <row r="19" spans="1:12" s="469" customFormat="1" ht="12.5">
      <c r="C19" s="252">
        <f>C20-1</f>
        <v>2019</v>
      </c>
      <c r="D19" s="365">
        <v>122243</v>
      </c>
      <c r="E19" s="365">
        <v>149395</v>
      </c>
      <c r="F19" s="365"/>
      <c r="G19" s="365"/>
      <c r="H19" s="365"/>
      <c r="I19" s="365"/>
      <c r="J19" s="365"/>
      <c r="K19" s="73"/>
    </row>
    <row r="20" spans="1:12" s="469" customFormat="1" ht="12.5">
      <c r="C20" s="252">
        <v>2020</v>
      </c>
      <c r="D20" s="365">
        <v>106971</v>
      </c>
      <c r="E20" s="365"/>
      <c r="F20" s="365"/>
      <c r="G20" s="365"/>
      <c r="H20" s="365"/>
      <c r="I20" s="365"/>
      <c r="J20" s="365"/>
      <c r="K20" s="73"/>
    </row>
    <row r="21" spans="1:12" s="469" customFormat="1" ht="12.5">
      <c r="C21" s="252"/>
      <c r="D21" s="73"/>
      <c r="E21" s="73"/>
      <c r="F21" s="73"/>
      <c r="G21" s="73"/>
      <c r="H21" s="73"/>
      <c r="I21" s="73"/>
      <c r="J21" s="73"/>
      <c r="K21" s="73"/>
    </row>
    <row r="22" spans="1:12" s="469" customFormat="1" ht="12.5">
      <c r="A22" s="470"/>
      <c r="B22" s="470" t="s">
        <v>264</v>
      </c>
      <c r="C22" s="470"/>
      <c r="D22" s="470"/>
      <c r="E22" s="470"/>
      <c r="F22" s="470"/>
      <c r="G22" s="470"/>
      <c r="H22" s="470"/>
      <c r="I22" s="470"/>
      <c r="J22" s="470"/>
      <c r="K22" s="470"/>
    </row>
    <row r="23" spans="1:12" s="469" customFormat="1" ht="12.5">
      <c r="A23" s="49"/>
      <c r="B23" s="49"/>
      <c r="C23" s="50"/>
      <c r="D23" s="50"/>
      <c r="E23" s="50"/>
      <c r="F23" s="50"/>
      <c r="G23" s="50"/>
      <c r="H23" s="50"/>
      <c r="I23" s="50"/>
      <c r="J23" s="50"/>
      <c r="K23" s="50"/>
      <c r="L23" s="50"/>
    </row>
    <row r="24" spans="1:12" s="469" customFormat="1" ht="12.5">
      <c r="C24" s="252" t="s">
        <v>54</v>
      </c>
      <c r="D24" s="513" t="s">
        <v>519</v>
      </c>
      <c r="E24" s="513"/>
      <c r="F24" s="513"/>
      <c r="G24" s="513"/>
      <c r="H24" s="513"/>
      <c r="I24" s="513"/>
      <c r="J24" s="513"/>
      <c r="K24" s="252"/>
      <c r="L24" s="25"/>
    </row>
    <row r="25" spans="1:12" s="469" customFormat="1" ht="13">
      <c r="C25" s="26" t="s">
        <v>8</v>
      </c>
      <c r="D25" s="77" t="str">
        <f t="shared" ref="D25:I25" si="2">+D9&amp;"-"&amp;E9</f>
        <v>12-24</v>
      </c>
      <c r="E25" s="77" t="str">
        <f t="shared" si="2"/>
        <v>24-36</v>
      </c>
      <c r="F25" s="77" t="str">
        <f t="shared" si="2"/>
        <v>36-48</v>
      </c>
      <c r="G25" s="77" t="str">
        <f t="shared" si="2"/>
        <v>48-60</v>
      </c>
      <c r="H25" s="77" t="str">
        <f t="shared" si="2"/>
        <v>60-72</v>
      </c>
      <c r="I25" s="77" t="str">
        <f t="shared" si="2"/>
        <v>72-84</v>
      </c>
      <c r="J25" s="77" t="str">
        <f>RIGHT(I25,2)&amp;"-Ult"</f>
        <v>84-Ult</v>
      </c>
      <c r="K25" s="77"/>
      <c r="L25" s="492"/>
    </row>
    <row r="26" spans="1:12" s="469" customFormat="1" ht="4.5" customHeight="1"/>
    <row r="27" spans="1:12" s="469" customFormat="1" ht="12.5">
      <c r="C27" s="252">
        <f t="shared" ref="C27:C34" si="3">+C12</f>
        <v>2012</v>
      </c>
      <c r="D27" s="54"/>
      <c r="E27" s="54"/>
      <c r="F27" s="54"/>
      <c r="G27" s="54"/>
      <c r="H27" s="54"/>
      <c r="I27" s="144">
        <f t="shared" ref="I27" si="4">J12/I12</f>
        <v>1.0010605468594258</v>
      </c>
      <c r="J27" s="54"/>
      <c r="K27" s="54"/>
      <c r="L27" s="54"/>
    </row>
    <row r="28" spans="1:12" s="469" customFormat="1" ht="12.5">
      <c r="C28" s="252">
        <f t="shared" si="3"/>
        <v>2013</v>
      </c>
      <c r="D28" s="54"/>
      <c r="E28" s="54"/>
      <c r="F28" s="54"/>
      <c r="G28" s="54"/>
      <c r="H28" s="144">
        <f t="shared" ref="H28:I28" si="5">I13/H13</f>
        <v>1.001796797208975</v>
      </c>
      <c r="I28" s="144">
        <f t="shared" si="5"/>
        <v>1.0014498060697552</v>
      </c>
      <c r="J28" s="54"/>
      <c r="K28" s="54"/>
      <c r="L28" s="54"/>
    </row>
    <row r="29" spans="1:12" s="469" customFormat="1" ht="12.5">
      <c r="C29" s="252">
        <f t="shared" si="3"/>
        <v>2014</v>
      </c>
      <c r="D29" s="54"/>
      <c r="E29" s="54"/>
      <c r="F29" s="54"/>
      <c r="G29" s="144">
        <f t="shared" ref="G29:H29" si="6">H14/G14</f>
        <v>1.0040848321838749</v>
      </c>
      <c r="H29" s="144">
        <f t="shared" si="6"/>
        <v>1.0021487046891899</v>
      </c>
      <c r="I29" s="144">
        <f>J14/I14</f>
        <v>1.0002835411453646</v>
      </c>
      <c r="J29" s="54"/>
      <c r="K29" s="54"/>
      <c r="L29" s="54"/>
    </row>
    <row r="30" spans="1:12" s="469" customFormat="1" ht="12.5">
      <c r="C30" s="252">
        <f t="shared" si="3"/>
        <v>2015</v>
      </c>
      <c r="D30" s="54"/>
      <c r="E30" s="54"/>
      <c r="F30" s="144">
        <f t="shared" ref="F30:G30" si="7">G15/F15</f>
        <v>1.0057687886240603</v>
      </c>
      <c r="G30" s="144">
        <f t="shared" si="7"/>
        <v>1.0028747774645155</v>
      </c>
      <c r="H30" s="144">
        <f>I15/H15</f>
        <v>1.0024788366729731</v>
      </c>
      <c r="I30" s="54"/>
      <c r="J30" s="54"/>
      <c r="K30" s="54"/>
      <c r="L30" s="54"/>
    </row>
    <row r="31" spans="1:12" s="469" customFormat="1" ht="12.5">
      <c r="C31" s="252">
        <f t="shared" si="3"/>
        <v>2016</v>
      </c>
      <c r="D31" s="54"/>
      <c r="E31" s="144">
        <f t="shared" ref="D31:E33" si="8">F16/E16</f>
        <v>1.0286024518388792</v>
      </c>
      <c r="F31" s="144">
        <f t="shared" ref="F31" si="9">G16/F16</f>
        <v>1.0068717522627748</v>
      </c>
      <c r="G31" s="144">
        <f>H16/G16</f>
        <v>1.0029490943033779</v>
      </c>
      <c r="H31" s="54"/>
      <c r="I31" s="54"/>
      <c r="J31" s="54"/>
      <c r="K31" s="54"/>
      <c r="L31" s="54"/>
    </row>
    <row r="32" spans="1:12" s="469" customFormat="1" ht="12.5">
      <c r="C32" s="252">
        <f t="shared" si="3"/>
        <v>2017</v>
      </c>
      <c r="D32" s="144">
        <f t="shared" si="8"/>
        <v>1.2199479824122945</v>
      </c>
      <c r="E32" s="144">
        <f t="shared" si="8"/>
        <v>1.023284883922805</v>
      </c>
      <c r="F32" s="144">
        <f>G17/F17</f>
        <v>1.0072954557793583</v>
      </c>
      <c r="G32" s="54"/>
      <c r="H32" s="54"/>
      <c r="I32" s="54"/>
      <c r="J32" s="54"/>
      <c r="K32" s="54"/>
      <c r="L32" s="54"/>
    </row>
    <row r="33" spans="1:12" s="469" customFormat="1" ht="12.5">
      <c r="C33" s="252">
        <f t="shared" si="3"/>
        <v>2018</v>
      </c>
      <c r="D33" s="144">
        <f t="shared" si="8"/>
        <v>1.2258955236331481</v>
      </c>
      <c r="E33" s="144">
        <f>F18/E18</f>
        <v>1.0234088450048655</v>
      </c>
      <c r="F33" s="54"/>
      <c r="G33" s="54"/>
      <c r="H33" s="54"/>
      <c r="I33" s="54"/>
      <c r="J33" s="54"/>
      <c r="K33" s="54"/>
      <c r="L33" s="54"/>
    </row>
    <row r="34" spans="1:12" s="469" customFormat="1" ht="12.5">
      <c r="C34" s="252">
        <f t="shared" si="3"/>
        <v>2019</v>
      </c>
      <c r="D34" s="144">
        <f>E19/D19</f>
        <v>1.2221149677282135</v>
      </c>
      <c r="E34" s="54"/>
      <c r="F34" s="54"/>
      <c r="G34" s="54"/>
      <c r="H34" s="54"/>
      <c r="I34" s="54"/>
      <c r="J34" s="54"/>
      <c r="K34" s="54"/>
      <c r="L34" s="54"/>
    </row>
    <row r="35" spans="1:12" s="469" customFormat="1" ht="13.15" customHeight="1">
      <c r="A35" s="49"/>
      <c r="B35" s="49"/>
      <c r="C35" s="54"/>
      <c r="D35" s="54"/>
      <c r="F35" s="54"/>
      <c r="G35" s="54"/>
      <c r="H35" s="35"/>
      <c r="I35" s="54"/>
      <c r="J35" s="54"/>
      <c r="K35" s="54"/>
      <c r="L35" s="54"/>
    </row>
    <row r="36" spans="1:12" s="469" customFormat="1" ht="12.5">
      <c r="C36" s="469" t="s">
        <v>265</v>
      </c>
      <c r="D36" s="54">
        <f>D34</f>
        <v>1.2221149677282135</v>
      </c>
      <c r="E36" s="54">
        <f>E33</f>
        <v>1.0234088450048655</v>
      </c>
      <c r="F36" s="54">
        <f>F32</f>
        <v>1.0072954557793583</v>
      </c>
      <c r="G36" s="54">
        <f>G31</f>
        <v>1.0029490943033779</v>
      </c>
      <c r="H36" s="54">
        <f>H30</f>
        <v>1.0024788366729731</v>
      </c>
      <c r="I36" s="54">
        <f>I29</f>
        <v>1.0002835411453646</v>
      </c>
      <c r="J36" s="54"/>
      <c r="K36" s="54"/>
    </row>
    <row r="37" spans="1:12" s="469" customFormat="1" ht="12.5">
      <c r="C37" s="469" t="s">
        <v>21</v>
      </c>
      <c r="D37" s="54">
        <f t="shared" ref="D37" si="10">D36*E37</f>
        <v>1.270652813661544</v>
      </c>
      <c r="E37" s="54">
        <f t="shared" ref="E37" si="11">E36*F37</f>
        <v>1.0397162682849368</v>
      </c>
      <c r="F37" s="54">
        <f t="shared" ref="F37" si="12">F36*G37</f>
        <v>1.0159344169826807</v>
      </c>
      <c r="G37" s="54">
        <f t="shared" ref="G37" si="13">G36*H37</f>
        <v>1.0085763925110118</v>
      </c>
      <c r="H37" s="54">
        <f t="shared" ref="H37" si="14">H36*I37</f>
        <v>1.0056107515721349</v>
      </c>
      <c r="I37" s="54">
        <f t="shared" ref="I37" si="15">I36*J37</f>
        <v>1.0031241705905294</v>
      </c>
      <c r="J37" s="366">
        <v>1.0028398242381478</v>
      </c>
      <c r="K37" s="54"/>
    </row>
    <row r="38" spans="1:12" s="469" customFormat="1" ht="12.5"/>
    <row r="39" spans="1:12" s="469" customFormat="1" ht="12.5">
      <c r="D39" s="467"/>
      <c r="E39" s="467"/>
      <c r="F39" s="467"/>
      <c r="G39" s="467"/>
      <c r="H39" s="467"/>
      <c r="I39" s="467"/>
      <c r="J39" s="467"/>
      <c r="K39" s="252"/>
    </row>
    <row r="40" spans="1:12" s="469" customFormat="1" ht="12.5">
      <c r="C40" s="469" t="s">
        <v>266</v>
      </c>
      <c r="D40" s="77">
        <f>$C$20</f>
        <v>2020</v>
      </c>
      <c r="E40" s="77">
        <f>D40-1</f>
        <v>2019</v>
      </c>
      <c r="F40" s="77">
        <f t="shared" ref="F40:J40" si="16">E40-1</f>
        <v>2018</v>
      </c>
      <c r="G40" s="77">
        <f t="shared" si="16"/>
        <v>2017</v>
      </c>
      <c r="H40" s="77">
        <f t="shared" si="16"/>
        <v>2016</v>
      </c>
      <c r="I40" s="77">
        <f t="shared" si="16"/>
        <v>2015</v>
      </c>
      <c r="J40" s="77">
        <f t="shared" si="16"/>
        <v>2014</v>
      </c>
      <c r="K40" s="77"/>
      <c r="L40" s="77"/>
    </row>
    <row r="41" spans="1:12" s="469" customFormat="1" ht="12.5">
      <c r="C41" s="469" t="s">
        <v>267</v>
      </c>
      <c r="D41" s="139">
        <f>D37*D20</f>
        <v>135923.00213018904</v>
      </c>
      <c r="E41" s="139">
        <f>E37*E19</f>
        <v>155328.41190042812</v>
      </c>
      <c r="F41" s="139">
        <f>F37*F18</f>
        <v>152789.42477327629</v>
      </c>
      <c r="G41" s="139">
        <f>G37*G17</f>
        <v>149699.96821123196</v>
      </c>
      <c r="H41" s="139">
        <f>H37*H16</f>
        <v>149109.951021613</v>
      </c>
      <c r="I41" s="139">
        <f>I37*I15</f>
        <v>145638.582707186</v>
      </c>
      <c r="J41" s="139">
        <f>J37*J14</f>
        <v>141513.73611771775</v>
      </c>
      <c r="K41" s="73"/>
      <c r="L41" s="140"/>
    </row>
    <row r="42" spans="1:12" s="469" customFormat="1" ht="12.5">
      <c r="D42" s="140"/>
      <c r="E42" s="140"/>
      <c r="F42" s="140"/>
      <c r="G42" s="140"/>
      <c r="H42" s="140"/>
      <c r="I42" s="140"/>
      <c r="J42" s="140"/>
      <c r="K42" s="140"/>
      <c r="L42" s="140"/>
    </row>
    <row r="43" spans="1:12" s="469" customFormat="1" ht="12.5">
      <c r="A43" s="470"/>
      <c r="B43" s="470" t="s">
        <v>268</v>
      </c>
      <c r="C43" s="470"/>
      <c r="D43" s="470"/>
      <c r="E43" s="470"/>
      <c r="F43" s="470"/>
      <c r="G43" s="470"/>
      <c r="H43" s="470"/>
      <c r="I43" s="470"/>
      <c r="J43" s="470"/>
      <c r="K43" s="470"/>
    </row>
    <row r="44" spans="1:12" s="469" customFormat="1" ht="12.5"/>
    <row r="45" spans="1:12" s="469" customFormat="1" ht="12.5">
      <c r="C45" s="252" t="s">
        <v>203</v>
      </c>
      <c r="D45" s="513" t="s">
        <v>308</v>
      </c>
      <c r="E45" s="513"/>
      <c r="F45" s="513"/>
      <c r="G45" s="513"/>
      <c r="H45" s="513"/>
      <c r="I45" s="513"/>
      <c r="J45" s="513"/>
      <c r="K45" s="252"/>
    </row>
    <row r="46" spans="1:12" s="469" customFormat="1" ht="12.5">
      <c r="B46" s="252"/>
      <c r="C46" s="26" t="s">
        <v>8</v>
      </c>
      <c r="D46" s="77">
        <f t="shared" ref="D46:J46" si="17">+D9</f>
        <v>12</v>
      </c>
      <c r="E46" s="77">
        <f t="shared" si="17"/>
        <v>24</v>
      </c>
      <c r="F46" s="77">
        <f t="shared" si="17"/>
        <v>36</v>
      </c>
      <c r="G46" s="77">
        <f t="shared" si="17"/>
        <v>48</v>
      </c>
      <c r="H46" s="77">
        <f t="shared" si="17"/>
        <v>60</v>
      </c>
      <c r="I46" s="77">
        <f t="shared" si="17"/>
        <v>72</v>
      </c>
      <c r="J46" s="77">
        <f t="shared" si="17"/>
        <v>84</v>
      </c>
      <c r="K46" s="77"/>
      <c r="L46" s="26"/>
    </row>
    <row r="47" spans="1:12" s="469" customFormat="1" ht="4.5" customHeight="1"/>
    <row r="48" spans="1:12" s="469" customFormat="1" ht="12.5">
      <c r="B48" s="252"/>
      <c r="C48" s="252">
        <f t="shared" ref="C48:C57" si="18">+C11</f>
        <v>2011</v>
      </c>
      <c r="D48" s="365"/>
      <c r="E48" s="365"/>
      <c r="F48" s="365"/>
      <c r="G48" s="365"/>
      <c r="H48" s="365"/>
      <c r="I48" s="365"/>
      <c r="J48" s="365">
        <v>109858.54461147125</v>
      </c>
      <c r="K48" s="73"/>
    </row>
    <row r="49" spans="1:12" s="469" customFormat="1" ht="12.5">
      <c r="B49" s="252"/>
      <c r="C49" s="252">
        <f t="shared" si="18"/>
        <v>2012</v>
      </c>
      <c r="D49" s="365"/>
      <c r="E49" s="365"/>
      <c r="F49" s="365"/>
      <c r="G49" s="365"/>
      <c r="H49" s="365"/>
      <c r="I49" s="365">
        <v>113034.74290724834</v>
      </c>
      <c r="J49" s="365">
        <v>117855.01825356011</v>
      </c>
      <c r="K49" s="73"/>
    </row>
    <row r="50" spans="1:12" s="469" customFormat="1" ht="12.5">
      <c r="C50" s="252">
        <f t="shared" si="18"/>
        <v>2013</v>
      </c>
      <c r="D50" s="365"/>
      <c r="E50" s="365"/>
      <c r="F50" s="365"/>
      <c r="G50" s="365"/>
      <c r="H50" s="365">
        <v>115075.20531408707</v>
      </c>
      <c r="I50" s="365">
        <v>122211.54179817044</v>
      </c>
      <c r="J50" s="365">
        <v>126943</v>
      </c>
      <c r="K50" s="73"/>
    </row>
    <row r="51" spans="1:12" s="469" customFormat="1" ht="12.5">
      <c r="C51" s="252">
        <f t="shared" si="18"/>
        <v>2014</v>
      </c>
      <c r="D51" s="365"/>
      <c r="E51" s="365"/>
      <c r="F51" s="365"/>
      <c r="G51" s="365">
        <v>109607.29019858055</v>
      </c>
      <c r="H51" s="365">
        <v>121365.66387031216</v>
      </c>
      <c r="I51" s="365">
        <v>128066</v>
      </c>
      <c r="J51" s="365">
        <v>131979</v>
      </c>
      <c r="K51" s="73"/>
    </row>
    <row r="52" spans="1:12" s="469" customFormat="1" ht="13.15" customHeight="1">
      <c r="C52" s="252">
        <f t="shared" si="18"/>
        <v>2015</v>
      </c>
      <c r="D52" s="365"/>
      <c r="E52" s="365"/>
      <c r="F52" s="365">
        <v>98029.769275544721</v>
      </c>
      <c r="G52" s="365">
        <v>116382.84041532289</v>
      </c>
      <c r="H52" s="365">
        <v>127179</v>
      </c>
      <c r="I52" s="365">
        <v>132663</v>
      </c>
      <c r="J52" s="365"/>
      <c r="K52" s="73"/>
    </row>
    <row r="53" spans="1:12" s="469" customFormat="1" ht="13.15" customHeight="1">
      <c r="C53" s="252">
        <f t="shared" si="18"/>
        <v>2016</v>
      </c>
      <c r="D53" s="365"/>
      <c r="E53" s="365">
        <v>76266</v>
      </c>
      <c r="F53" s="365">
        <v>104229</v>
      </c>
      <c r="G53" s="365">
        <v>121967</v>
      </c>
      <c r="H53" s="365">
        <v>130811</v>
      </c>
      <c r="I53" s="365"/>
      <c r="J53" s="365"/>
      <c r="K53" s="73"/>
    </row>
    <row r="54" spans="1:12" s="469" customFormat="1" ht="13.15" customHeight="1">
      <c r="C54" s="252">
        <f t="shared" si="18"/>
        <v>2017</v>
      </c>
      <c r="D54" s="365">
        <v>35866</v>
      </c>
      <c r="E54" s="365">
        <v>80944</v>
      </c>
      <c r="F54" s="365">
        <v>107771</v>
      </c>
      <c r="G54" s="365">
        <v>122544</v>
      </c>
      <c r="H54" s="365"/>
      <c r="I54" s="365"/>
      <c r="J54" s="365"/>
      <c r="K54" s="73"/>
    </row>
    <row r="55" spans="1:12" s="469" customFormat="1" ht="12.5">
      <c r="C55" s="252">
        <f t="shared" si="18"/>
        <v>2018</v>
      </c>
      <c r="D55" s="365">
        <v>37352</v>
      </c>
      <c r="E55" s="365">
        <v>82802</v>
      </c>
      <c r="F55" s="365">
        <v>107381</v>
      </c>
      <c r="G55" s="365"/>
      <c r="H55" s="365"/>
      <c r="I55" s="365"/>
      <c r="J55" s="365"/>
      <c r="K55" s="73"/>
    </row>
    <row r="56" spans="1:12" s="469" customFormat="1" ht="12.5">
      <c r="C56" s="252">
        <f t="shared" si="18"/>
        <v>2019</v>
      </c>
      <c r="D56" s="365">
        <v>38107</v>
      </c>
      <c r="E56" s="365">
        <v>80822</v>
      </c>
      <c r="F56" s="365"/>
      <c r="G56" s="365"/>
      <c r="H56" s="365"/>
      <c r="I56" s="365"/>
      <c r="J56" s="365"/>
      <c r="K56" s="73"/>
    </row>
    <row r="57" spans="1:12" s="469" customFormat="1" ht="12.5">
      <c r="C57" s="252">
        <f t="shared" si="18"/>
        <v>2020</v>
      </c>
      <c r="D57" s="365">
        <v>32080</v>
      </c>
      <c r="E57" s="377"/>
      <c r="F57" s="365"/>
      <c r="G57" s="365"/>
      <c r="H57" s="365"/>
      <c r="I57" s="365"/>
      <c r="J57" s="365"/>
      <c r="K57" s="73"/>
    </row>
    <row r="58" spans="1:12" s="469" customFormat="1" ht="12.5">
      <c r="C58" s="252"/>
    </row>
    <row r="59" spans="1:12" s="469" customFormat="1" ht="12.5">
      <c r="B59" s="469" t="s">
        <v>522</v>
      </c>
    </row>
    <row r="60" spans="1:12" ht="45" customHeight="1">
      <c r="A60" s="469"/>
      <c r="B60" s="469"/>
      <c r="C60" s="252"/>
      <c r="D60" s="208"/>
      <c r="E60" s="208"/>
      <c r="F60" s="208"/>
      <c r="G60" s="209"/>
      <c r="H60" s="209"/>
      <c r="I60" s="209"/>
      <c r="J60" s="208"/>
      <c r="K60" s="208"/>
      <c r="L60" s="143" t="s">
        <v>384</v>
      </c>
    </row>
    <row r="61" spans="1:12" s="469" customFormat="1" ht="13">
      <c r="A61" s="245" t="s">
        <v>35</v>
      </c>
      <c r="B61" s="245"/>
      <c r="C61" s="245"/>
      <c r="D61" s="245"/>
      <c r="E61" s="245"/>
      <c r="F61" s="245"/>
      <c r="G61" s="245"/>
      <c r="H61" s="245"/>
      <c r="I61" s="245"/>
      <c r="J61" s="245"/>
      <c r="K61" s="245"/>
      <c r="L61" s="245"/>
    </row>
    <row r="62" spans="1:12" s="469" customFormat="1" ht="13">
      <c r="A62" s="245" t="s">
        <v>261</v>
      </c>
      <c r="B62" s="245"/>
      <c r="C62" s="245"/>
      <c r="D62" s="245"/>
      <c r="E62" s="245"/>
      <c r="F62" s="245"/>
      <c r="G62" s="245"/>
      <c r="H62" s="245"/>
      <c r="I62" s="245"/>
      <c r="J62" s="245"/>
      <c r="K62" s="245"/>
      <c r="L62" s="245"/>
    </row>
    <row r="63" spans="1:12" s="469" customFormat="1" ht="13">
      <c r="A63" s="245" t="s">
        <v>262</v>
      </c>
      <c r="B63" s="245"/>
      <c r="C63" s="245"/>
      <c r="D63" s="245"/>
      <c r="E63" s="245"/>
      <c r="F63" s="245"/>
      <c r="G63" s="245"/>
      <c r="H63" s="245"/>
      <c r="I63" s="245"/>
      <c r="J63" s="245"/>
      <c r="K63" s="245"/>
      <c r="L63" s="245"/>
    </row>
    <row r="64" spans="1:12" s="469" customFormat="1" ht="13">
      <c r="A64" s="299"/>
      <c r="B64" s="299"/>
      <c r="C64" s="299"/>
      <c r="D64" s="299"/>
      <c r="E64" s="299"/>
      <c r="F64" s="299"/>
      <c r="G64" s="299"/>
      <c r="H64" s="299"/>
      <c r="I64" s="299"/>
      <c r="J64" s="299"/>
      <c r="K64" s="299"/>
      <c r="L64" s="299"/>
    </row>
    <row r="65" spans="1:12" s="469" customFormat="1" ht="12.5"/>
    <row r="66" spans="1:12" s="469" customFormat="1" ht="12.5">
      <c r="A66" s="470"/>
      <c r="B66" s="470" t="s">
        <v>309</v>
      </c>
      <c r="C66" s="470"/>
      <c r="D66" s="470"/>
      <c r="E66" s="470"/>
      <c r="F66" s="470"/>
      <c r="G66" s="470"/>
      <c r="H66" s="470"/>
      <c r="I66" s="470"/>
      <c r="J66" s="470"/>
      <c r="K66" s="470"/>
    </row>
    <row r="67" spans="1:12" s="469" customFormat="1" ht="12.5"/>
    <row r="68" spans="1:12" s="469" customFormat="1" ht="12.5">
      <c r="C68" s="252" t="s">
        <v>203</v>
      </c>
      <c r="D68" s="513" t="s">
        <v>308</v>
      </c>
      <c r="E68" s="513"/>
      <c r="F68" s="513"/>
      <c r="G68" s="513"/>
      <c r="H68" s="513"/>
      <c r="I68" s="513"/>
      <c r="J68" s="513"/>
      <c r="K68" s="252"/>
    </row>
    <row r="69" spans="1:12" s="469" customFormat="1" ht="12.5">
      <c r="C69" s="26" t="s">
        <v>8</v>
      </c>
      <c r="D69" s="77">
        <f t="shared" ref="D69:J69" si="19">D46</f>
        <v>12</v>
      </c>
      <c r="E69" s="77">
        <f t="shared" si="19"/>
        <v>24</v>
      </c>
      <c r="F69" s="77">
        <f t="shared" si="19"/>
        <v>36</v>
      </c>
      <c r="G69" s="77">
        <f t="shared" si="19"/>
        <v>48</v>
      </c>
      <c r="H69" s="77">
        <f t="shared" si="19"/>
        <v>60</v>
      </c>
      <c r="I69" s="77">
        <f t="shared" si="19"/>
        <v>72</v>
      </c>
      <c r="J69" s="77">
        <f t="shared" si="19"/>
        <v>84</v>
      </c>
      <c r="K69" s="77"/>
      <c r="L69" s="26"/>
    </row>
    <row r="70" spans="1:12" s="469" customFormat="1" ht="4.5" customHeight="1"/>
    <row r="71" spans="1:12" s="469" customFormat="1" ht="12.5">
      <c r="C71" s="252">
        <f t="shared" ref="C71:C80" si="20">C48</f>
        <v>2011</v>
      </c>
      <c r="D71" s="479"/>
      <c r="E71" s="479"/>
      <c r="F71" s="479"/>
      <c r="G71" s="479"/>
      <c r="H71" s="485"/>
      <c r="I71" s="485"/>
      <c r="J71" s="485">
        <v>0.90639170019480231</v>
      </c>
      <c r="K71" s="479"/>
      <c r="L71" s="479"/>
    </row>
    <row r="72" spans="1:12" s="469" customFormat="1" ht="12.5">
      <c r="C72" s="252">
        <f t="shared" si="20"/>
        <v>2012</v>
      </c>
      <c r="D72" s="479"/>
      <c r="E72" s="479"/>
      <c r="F72" s="479"/>
      <c r="G72" s="479"/>
      <c r="H72" s="485"/>
      <c r="I72" s="485">
        <v>0.88042377284592532</v>
      </c>
      <c r="J72" s="485">
        <v>0.91796873377920551</v>
      </c>
      <c r="K72" s="479"/>
      <c r="L72" s="479"/>
    </row>
    <row r="73" spans="1:12" s="469" customFormat="1" ht="12.5">
      <c r="C73" s="252">
        <f t="shared" si="20"/>
        <v>2013</v>
      </c>
      <c r="D73" s="479"/>
      <c r="E73" s="479"/>
      <c r="F73" s="479"/>
      <c r="G73" s="479"/>
      <c r="H73" s="485">
        <v>0.84251851983529769</v>
      </c>
      <c r="I73" s="485">
        <v>0.89476692239261668</v>
      </c>
      <c r="J73" s="485">
        <v>0.92940810465240642</v>
      </c>
      <c r="K73" s="479"/>
      <c r="L73" s="479"/>
    </row>
    <row r="74" spans="1:12" s="469" customFormat="1" ht="12.5">
      <c r="C74" s="252">
        <f t="shared" si="20"/>
        <v>2014</v>
      </c>
      <c r="D74" s="479"/>
      <c r="E74" s="479"/>
      <c r="F74" s="479"/>
      <c r="G74" s="141">
        <f t="shared" ref="G74" si="21">G51/HLOOKUP($C74,$D$40:$J$41,2,FALSE)</f>
        <v>0.77453463674652812</v>
      </c>
      <c r="H74" s="141">
        <f t="shared" ref="H74:J75" si="22">H51/HLOOKUP($C74,$D$40:$J$41,2,FALSE)</f>
        <v>0.85762461793358713</v>
      </c>
      <c r="I74" s="141">
        <f t="shared" si="22"/>
        <v>0.90497222045970649</v>
      </c>
      <c r="J74" s="141">
        <f t="shared" si="22"/>
        <v>0.93262324648268558</v>
      </c>
      <c r="K74" s="479"/>
    </row>
    <row r="75" spans="1:12" s="469" customFormat="1" ht="12.5">
      <c r="C75" s="252">
        <f t="shared" si="20"/>
        <v>2015</v>
      </c>
      <c r="D75" s="479"/>
      <c r="E75" s="479"/>
      <c r="F75" s="141">
        <f t="shared" ref="F75:H75" si="23">F52/HLOOKUP($C75,$D$40:$J$41,2,FALSE)</f>
        <v>0.67310301606435374</v>
      </c>
      <c r="G75" s="141">
        <f t="shared" si="23"/>
        <v>0.79912093520792282</v>
      </c>
      <c r="H75" s="141">
        <f t="shared" si="23"/>
        <v>0.87325073916504703</v>
      </c>
      <c r="I75" s="141">
        <f t="shared" si="22"/>
        <v>0.91090559612713284</v>
      </c>
      <c r="J75" s="479"/>
      <c r="K75" s="479"/>
    </row>
    <row r="76" spans="1:12" s="469" customFormat="1" ht="12.5">
      <c r="C76" s="252">
        <f t="shared" si="20"/>
        <v>2016</v>
      </c>
      <c r="D76" s="479"/>
      <c r="E76" s="141">
        <f t="shared" ref="D76:E79" si="24">E53/HLOOKUP($C76,$D$40:$J$41,2,FALSE)</f>
        <v>0.51147491818936686</v>
      </c>
      <c r="F76" s="141">
        <f t="shared" ref="F76:H76" si="25">F53/HLOOKUP($C76,$D$40:$J$41,2,FALSE)</f>
        <v>0.69900767377284123</v>
      </c>
      <c r="G76" s="141">
        <f t="shared" si="25"/>
        <v>0.8179668705163835</v>
      </c>
      <c r="H76" s="141">
        <f t="shared" si="25"/>
        <v>0.87727880737509845</v>
      </c>
      <c r="I76" s="479"/>
      <c r="J76" s="479"/>
      <c r="K76" s="479"/>
    </row>
    <row r="77" spans="1:12" s="469" customFormat="1" ht="12.5">
      <c r="C77" s="252">
        <f t="shared" si="20"/>
        <v>2017</v>
      </c>
      <c r="D77" s="141">
        <f t="shared" si="24"/>
        <v>0.23958588921937379</v>
      </c>
      <c r="E77" s="141">
        <f t="shared" si="24"/>
        <v>0.5407081976516197</v>
      </c>
      <c r="F77" s="141">
        <f t="shared" ref="F77" si="26">F54/HLOOKUP($C77,$D$40:$J$41,2,FALSE)</f>
        <v>0.71991331252610091</v>
      </c>
      <c r="G77" s="141">
        <f>G54/HLOOKUP($C77,$D$40:$J$41,2,FALSE)</f>
        <v>0.81859736821778128</v>
      </c>
      <c r="H77" s="479"/>
      <c r="I77" s="479"/>
      <c r="J77" s="479"/>
      <c r="K77" s="479"/>
    </row>
    <row r="78" spans="1:12" s="469" customFormat="1" ht="12.5">
      <c r="C78" s="252">
        <f t="shared" si="20"/>
        <v>2018</v>
      </c>
      <c r="D78" s="141">
        <f t="shared" si="24"/>
        <v>0.24446718125568251</v>
      </c>
      <c r="E78" s="141">
        <f t="shared" si="24"/>
        <v>0.54193541289176006</v>
      </c>
      <c r="F78" s="141">
        <f>F55/HLOOKUP($C78,$D$40:$J$41,2,FALSE)</f>
        <v>0.70280387637653785</v>
      </c>
      <c r="G78" s="479"/>
      <c r="H78" s="479"/>
      <c r="I78" s="479"/>
      <c r="J78" s="479"/>
      <c r="K78" s="479"/>
    </row>
    <row r="79" spans="1:12" s="469" customFormat="1" ht="12.5">
      <c r="C79" s="252">
        <f t="shared" si="20"/>
        <v>2019</v>
      </c>
      <c r="D79" s="141">
        <f t="shared" si="24"/>
        <v>0.24533180719331726</v>
      </c>
      <c r="E79" s="141">
        <f>E56/HLOOKUP($C79,$D$40:$J$41,2,FALSE)</f>
        <v>0.52032979035290861</v>
      </c>
      <c r="F79" s="479"/>
      <c r="G79" s="479"/>
      <c r="H79" s="479"/>
      <c r="I79" s="479"/>
      <c r="J79" s="479"/>
      <c r="K79" s="479"/>
    </row>
    <row r="80" spans="1:12" s="469" customFormat="1" ht="12.5">
      <c r="C80" s="252">
        <f t="shared" si="20"/>
        <v>2020</v>
      </c>
      <c r="D80" s="141">
        <f>D57/HLOOKUP($C80,$D$40:$J$41,2,FALSE)</f>
        <v>0.23601597593668</v>
      </c>
      <c r="E80" s="479"/>
      <c r="F80" s="479"/>
      <c r="G80" s="479"/>
      <c r="H80" s="479"/>
      <c r="I80" s="479"/>
      <c r="J80" s="479"/>
      <c r="K80" s="479"/>
    </row>
    <row r="81" spans="1:12" s="469" customFormat="1" ht="12.5">
      <c r="C81" s="252"/>
      <c r="D81" s="479"/>
      <c r="F81" s="479"/>
      <c r="G81" s="479"/>
      <c r="H81" s="479"/>
      <c r="I81" s="479"/>
      <c r="J81" s="479"/>
      <c r="K81" s="479"/>
    </row>
    <row r="82" spans="1:12" s="469" customFormat="1" ht="12.5">
      <c r="A82" s="470"/>
      <c r="B82" s="470" t="s">
        <v>310</v>
      </c>
      <c r="C82" s="470"/>
      <c r="D82" s="470"/>
      <c r="E82" s="470"/>
      <c r="F82" s="470"/>
      <c r="G82" s="470"/>
      <c r="H82" s="470"/>
      <c r="I82" s="470"/>
      <c r="J82" s="470"/>
      <c r="K82" s="470"/>
      <c r="L82" s="470"/>
    </row>
    <row r="83" spans="1:12" s="469" customFormat="1" ht="12.5"/>
    <row r="84" spans="1:12" s="469" customFormat="1" ht="12.5">
      <c r="C84" s="252" t="s">
        <v>203</v>
      </c>
      <c r="D84" s="513" t="s">
        <v>308</v>
      </c>
      <c r="E84" s="513"/>
      <c r="F84" s="513"/>
      <c r="G84" s="513"/>
      <c r="H84" s="513"/>
      <c r="I84" s="513"/>
      <c r="J84" s="513"/>
      <c r="K84" s="252"/>
    </row>
    <row r="85" spans="1:12" s="469" customFormat="1" ht="12.5">
      <c r="C85" s="26" t="s">
        <v>8</v>
      </c>
      <c r="D85" s="77">
        <f t="shared" ref="D85:J85" si="27">+D69</f>
        <v>12</v>
      </c>
      <c r="E85" s="77">
        <f t="shared" si="27"/>
        <v>24</v>
      </c>
      <c r="F85" s="77">
        <f t="shared" si="27"/>
        <v>36</v>
      </c>
      <c r="G85" s="77">
        <f t="shared" si="27"/>
        <v>48</v>
      </c>
      <c r="H85" s="77">
        <f t="shared" si="27"/>
        <v>60</v>
      </c>
      <c r="I85" s="77">
        <f t="shared" si="27"/>
        <v>72</v>
      </c>
      <c r="J85" s="77">
        <f t="shared" si="27"/>
        <v>84</v>
      </c>
      <c r="K85" s="77"/>
    </row>
    <row r="86" spans="1:12" s="469" customFormat="1" ht="4.5" customHeight="1"/>
    <row r="87" spans="1:12" s="469" customFormat="1" ht="12.5">
      <c r="C87" s="252">
        <f t="shared" ref="C87:C96" si="28">+C71</f>
        <v>2011</v>
      </c>
      <c r="D87" s="156"/>
      <c r="E87" s="156"/>
      <c r="F87" s="156"/>
      <c r="G87" s="156"/>
      <c r="H87" s="486"/>
      <c r="I87" s="486"/>
      <c r="J87" s="486">
        <v>113037.92003765394</v>
      </c>
      <c r="K87" s="156"/>
    </row>
    <row r="88" spans="1:12" s="469" customFormat="1" ht="12.5">
      <c r="C88" s="252">
        <f t="shared" si="28"/>
        <v>2012</v>
      </c>
      <c r="D88" s="156"/>
      <c r="E88" s="156"/>
      <c r="F88" s="156"/>
      <c r="G88" s="156"/>
      <c r="H88" s="486"/>
      <c r="I88" s="486">
        <v>116948.20499698502</v>
      </c>
      <c r="J88" s="486">
        <v>119736.46344729268</v>
      </c>
      <c r="K88" s="156"/>
    </row>
    <row r="89" spans="1:12" s="469" customFormat="1" ht="12.5">
      <c r="C89" s="252">
        <f t="shared" si="28"/>
        <v>2013</v>
      </c>
      <c r="D89" s="156"/>
      <c r="E89" s="156"/>
      <c r="F89" s="156"/>
      <c r="G89" s="156"/>
      <c r="H89" s="486">
        <v>119822.93148419101</v>
      </c>
      <c r="I89" s="486">
        <v>124415.83897357207</v>
      </c>
      <c r="J89" s="486">
        <v>127382.13943435405</v>
      </c>
      <c r="K89" s="156"/>
    </row>
    <row r="90" spans="1:12" s="469" customFormat="1" ht="12.5">
      <c r="C90" s="252">
        <f t="shared" si="28"/>
        <v>2014</v>
      </c>
      <c r="D90" s="156"/>
      <c r="E90" s="156"/>
      <c r="F90" s="156"/>
      <c r="G90" s="142">
        <f>HLOOKUP($C90,$D$40:$J$41,2,FALSE)*G$77</f>
        <v>115842.77195262934</v>
      </c>
      <c r="H90" s="142">
        <f>HLOOKUP($C90,$D$40:$J$41,2,FALSE)*H$76</f>
        <v>124147.00164854582</v>
      </c>
      <c r="I90" s="142">
        <f>HLOOKUP($C90,$D$40:$J$41,2,FALSE)*I$75</f>
        <v>128905.65415848746</v>
      </c>
      <c r="J90" s="142">
        <f>HLOOKUP($C90,$D$40:$J$41,2,FALSE)*J$74</f>
        <v>131979</v>
      </c>
      <c r="K90" s="156"/>
    </row>
    <row r="91" spans="1:12" s="469" customFormat="1" ht="12.5">
      <c r="C91" s="252">
        <f t="shared" si="28"/>
        <v>2015</v>
      </c>
      <c r="D91" s="156"/>
      <c r="E91" s="156"/>
      <c r="F91" s="142">
        <f>HLOOKUP($C91,$D$40:$J$41,2,FALSE)*F$78</f>
        <v>102355.36047659534</v>
      </c>
      <c r="G91" s="142">
        <f>HLOOKUP($C91,$D$40:$J$41,2,FALSE)*G$77</f>
        <v>119219.36051507013</v>
      </c>
      <c r="H91" s="142">
        <f t="shared" ref="H91:H92" si="29">HLOOKUP($C91,$D$40:$J$41,2,FALSE)*H$76</f>
        <v>127765.64214515977</v>
      </c>
      <c r="I91" s="142">
        <f>HLOOKUP($C91,$D$40:$J$41,2,FALSE)*I$75</f>
        <v>132663</v>
      </c>
      <c r="J91" s="156"/>
      <c r="K91" s="156"/>
    </row>
    <row r="92" spans="1:12" s="469" customFormat="1" ht="12.5">
      <c r="C92" s="252">
        <f t="shared" si="28"/>
        <v>2016</v>
      </c>
      <c r="D92" s="156"/>
      <c r="E92" s="142">
        <f t="shared" ref="E92" si="30">HLOOKUP($C92,$D$40:$J$41,2,FALSE)*E$79</f>
        <v>77586.349554608358</v>
      </c>
      <c r="F92" s="142">
        <f>HLOOKUP($C92,$D$40:$J$41,2,FALSE)*F$78</f>
        <v>104795.05158430531</v>
      </c>
      <c r="G92" s="142">
        <f>HLOOKUP($C92,$D$40:$J$41,2,FALSE)*G$77</f>
        <v>122061.01348137467</v>
      </c>
      <c r="H92" s="142">
        <f t="shared" si="29"/>
        <v>130811</v>
      </c>
      <c r="I92" s="156"/>
      <c r="J92" s="156"/>
      <c r="K92" s="156"/>
    </row>
    <row r="93" spans="1:12" s="469" customFormat="1" ht="12.5">
      <c r="C93" s="252">
        <f t="shared" si="28"/>
        <v>2017</v>
      </c>
      <c r="D93" s="142">
        <f t="shared" ref="D93:D96" si="31">HLOOKUP($C93,$D$40:$J$41,2,FALSE)*D$80</f>
        <v>35331.584095063881</v>
      </c>
      <c r="E93" s="142">
        <f>HLOOKUP($C93,$D$40:$J$41,2,FALSE)*E$79</f>
        <v>77893.353075187406</v>
      </c>
      <c r="F93" s="142">
        <f>HLOOKUP($C93,$D$40:$J$41,2,FALSE)*F$78</f>
        <v>105209.71795229831</v>
      </c>
      <c r="G93" s="142">
        <f>HLOOKUP($C93,$D$40:$J$41,2,FALSE)*G$77</f>
        <v>122544</v>
      </c>
      <c r="H93" s="156"/>
      <c r="I93" s="156"/>
      <c r="J93" s="156"/>
      <c r="K93" s="156"/>
    </row>
    <row r="94" spans="1:12" s="469" customFormat="1" ht="12.5">
      <c r="C94" s="252">
        <f t="shared" si="28"/>
        <v>2018</v>
      </c>
      <c r="D94" s="142">
        <f t="shared" si="31"/>
        <v>36060.745200668753</v>
      </c>
      <c r="E94" s="142">
        <f t="shared" ref="E94:E95" si="32">HLOOKUP($C94,$D$40:$J$41,2,FALSE)*E$79</f>
        <v>79500.889360420348</v>
      </c>
      <c r="F94" s="142">
        <f>HLOOKUP($C94,$D$40:$J$41,2,FALSE)*F$78</f>
        <v>107381</v>
      </c>
      <c r="G94" s="156"/>
      <c r="H94" s="156"/>
      <c r="I94" s="156"/>
      <c r="J94" s="156"/>
      <c r="K94" s="156"/>
    </row>
    <row r="95" spans="1:12" s="469" customFormat="1" ht="12.5">
      <c r="C95" s="252">
        <f t="shared" si="28"/>
        <v>2019</v>
      </c>
      <c r="D95" s="142">
        <f t="shared" si="31"/>
        <v>36659.986725374161</v>
      </c>
      <c r="E95" s="142">
        <f t="shared" si="32"/>
        <v>80822</v>
      </c>
      <c r="F95" s="156"/>
      <c r="G95" s="156"/>
      <c r="H95" s="156"/>
      <c r="I95" s="156"/>
      <c r="J95" s="156"/>
      <c r="K95" s="156"/>
    </row>
    <row r="96" spans="1:12" s="469" customFormat="1" ht="12.5">
      <c r="C96" s="252">
        <f t="shared" si="28"/>
        <v>2020</v>
      </c>
      <c r="D96" s="142">
        <f t="shared" si="31"/>
        <v>32080</v>
      </c>
      <c r="E96" s="156"/>
      <c r="F96" s="156"/>
      <c r="G96" s="156"/>
      <c r="H96" s="156"/>
      <c r="I96" s="156"/>
      <c r="J96" s="156"/>
      <c r="K96" s="156"/>
    </row>
    <row r="97" spans="1:11" s="469" customFormat="1" ht="12.5">
      <c r="C97" s="252"/>
      <c r="D97" s="156"/>
      <c r="F97" s="156"/>
      <c r="G97" s="156"/>
      <c r="H97" s="156"/>
      <c r="I97" s="156"/>
      <c r="J97" s="156"/>
      <c r="K97" s="156"/>
    </row>
    <row r="98" spans="1:11" s="469" customFormat="1" ht="12.5">
      <c r="A98" s="470"/>
      <c r="B98" s="470" t="s">
        <v>287</v>
      </c>
      <c r="C98" s="470"/>
      <c r="D98" s="470"/>
      <c r="E98" s="470"/>
      <c r="F98" s="470"/>
      <c r="G98" s="470"/>
      <c r="H98" s="470"/>
      <c r="I98" s="470"/>
      <c r="J98" s="470"/>
      <c r="K98" s="470"/>
    </row>
    <row r="99" spans="1:11" s="469" customFormat="1" ht="12.5"/>
    <row r="100" spans="1:11" s="469" customFormat="1" ht="12.5">
      <c r="C100" s="252" t="s">
        <v>203</v>
      </c>
      <c r="D100" s="513" t="s">
        <v>308</v>
      </c>
      <c r="E100" s="513"/>
      <c r="F100" s="513"/>
      <c r="G100" s="513"/>
      <c r="H100" s="513"/>
      <c r="I100" s="513"/>
      <c r="J100" s="513"/>
      <c r="K100" s="252"/>
    </row>
    <row r="101" spans="1:11" s="469" customFormat="1" ht="12.5">
      <c r="C101" s="26" t="s">
        <v>8</v>
      </c>
      <c r="D101" s="77">
        <f t="shared" ref="D101:J101" si="33">+D69</f>
        <v>12</v>
      </c>
      <c r="E101" s="77">
        <f t="shared" si="33"/>
        <v>24</v>
      </c>
      <c r="F101" s="77">
        <f t="shared" si="33"/>
        <v>36</v>
      </c>
      <c r="G101" s="77">
        <f t="shared" si="33"/>
        <v>48</v>
      </c>
      <c r="H101" s="77">
        <f t="shared" si="33"/>
        <v>60</v>
      </c>
      <c r="I101" s="77">
        <f t="shared" si="33"/>
        <v>72</v>
      </c>
      <c r="J101" s="77">
        <f t="shared" si="33"/>
        <v>84</v>
      </c>
      <c r="K101" s="77"/>
    </row>
    <row r="102" spans="1:11" s="469" customFormat="1" ht="4.5" customHeight="1"/>
    <row r="103" spans="1:11" s="469" customFormat="1" ht="12.5">
      <c r="C103" s="252">
        <f t="shared" ref="C103:C110" si="34">+C71</f>
        <v>2011</v>
      </c>
      <c r="D103" s="486"/>
      <c r="E103" s="486"/>
      <c r="F103" s="486"/>
      <c r="G103" s="486"/>
      <c r="H103" s="486"/>
      <c r="I103" s="486"/>
      <c r="J103" s="486">
        <v>22423.831884965133</v>
      </c>
      <c r="K103" s="156"/>
    </row>
    <row r="104" spans="1:11" s="469" customFormat="1" ht="12.5">
      <c r="C104" s="252">
        <f t="shared" si="34"/>
        <v>2012</v>
      </c>
      <c r="D104" s="486"/>
      <c r="E104" s="486"/>
      <c r="F104" s="486"/>
      <c r="G104" s="486"/>
      <c r="H104" s="486"/>
      <c r="I104" s="486">
        <v>19413.403337026648</v>
      </c>
      <c r="J104" s="486">
        <v>21119.100551948075</v>
      </c>
      <c r="K104" s="156"/>
    </row>
    <row r="105" spans="1:11" s="469" customFormat="1" ht="12.5">
      <c r="C105" s="252">
        <f t="shared" si="34"/>
        <v>2013</v>
      </c>
      <c r="D105" s="486"/>
      <c r="E105" s="486"/>
      <c r="F105" s="486"/>
      <c r="G105" s="486"/>
      <c r="H105" s="486">
        <v>16556.229110547898</v>
      </c>
      <c r="I105" s="486">
        <v>18594.54130149505</v>
      </c>
      <c r="J105" s="486">
        <v>19988.850594361247</v>
      </c>
      <c r="K105" s="156"/>
    </row>
    <row r="106" spans="1:11" s="469" customFormat="1" ht="12.5">
      <c r="C106" s="252">
        <f t="shared" si="34"/>
        <v>2014</v>
      </c>
      <c r="D106" s="486"/>
      <c r="E106" s="486"/>
      <c r="F106" s="486"/>
      <c r="G106" s="486">
        <v>13669.099980493727</v>
      </c>
      <c r="H106" s="486">
        <v>16371.500296883707</v>
      </c>
      <c r="I106" s="486">
        <v>18160.18424874674</v>
      </c>
      <c r="J106" s="486">
        <v>19308.761924245522</v>
      </c>
      <c r="K106" s="156"/>
    </row>
    <row r="107" spans="1:11" s="469" customFormat="1" ht="12.5">
      <c r="C107" s="252">
        <f t="shared" si="34"/>
        <v>2015</v>
      </c>
      <c r="D107" s="486"/>
      <c r="E107" s="486"/>
      <c r="F107" s="486">
        <v>10431.335802117073</v>
      </c>
      <c r="G107" s="486">
        <v>13849.394225087954</v>
      </c>
      <c r="H107" s="486">
        <v>16220.447322278049</v>
      </c>
      <c r="I107" s="486">
        <v>17716.675832749148</v>
      </c>
      <c r="J107" s="486"/>
      <c r="K107" s="156"/>
    </row>
    <row r="108" spans="1:11" s="469" customFormat="1" ht="12.5">
      <c r="C108" s="252">
        <f t="shared" si="34"/>
        <v>2016</v>
      </c>
      <c r="D108" s="486"/>
      <c r="E108" s="486">
        <v>6471.2195867096734</v>
      </c>
      <c r="F108" s="486">
        <v>10485.904613879055</v>
      </c>
      <c r="G108" s="486">
        <v>13495.625292087205</v>
      </c>
      <c r="H108" s="486">
        <v>15508.564608480938</v>
      </c>
      <c r="I108" s="486"/>
      <c r="J108" s="486"/>
      <c r="K108" s="156"/>
    </row>
    <row r="109" spans="1:11" s="469" customFormat="1" ht="12.5">
      <c r="C109" s="252">
        <f t="shared" si="34"/>
        <v>2017</v>
      </c>
      <c r="D109" s="486">
        <v>2834.9594044498967</v>
      </c>
      <c r="E109" s="486">
        <v>6647.6936771101009</v>
      </c>
      <c r="F109" s="486">
        <v>10635.169971513673</v>
      </c>
      <c r="G109" s="486">
        <v>13466.972303825565</v>
      </c>
      <c r="H109" s="486"/>
      <c r="I109" s="486"/>
      <c r="J109" s="486"/>
      <c r="K109" s="156"/>
    </row>
    <row r="110" spans="1:11" s="469" customFormat="1" ht="12.5">
      <c r="C110" s="252">
        <f t="shared" si="34"/>
        <v>2018</v>
      </c>
      <c r="D110" s="486">
        <v>2971.9604304990362</v>
      </c>
      <c r="E110" s="486">
        <v>6954.2890147580974</v>
      </c>
      <c r="F110" s="486">
        <v>11097.733695905235</v>
      </c>
      <c r="G110" s="486"/>
      <c r="H110" s="486"/>
      <c r="I110" s="486"/>
      <c r="J110" s="486"/>
      <c r="K110" s="156"/>
    </row>
    <row r="111" spans="1:11" s="469" customFormat="1" ht="12.5">
      <c r="C111" s="252">
        <f>+C79</f>
        <v>2019</v>
      </c>
      <c r="D111" s="486">
        <v>3405.2504001889415</v>
      </c>
      <c r="E111" s="486">
        <v>6684.6436242607215</v>
      </c>
      <c r="F111" s="486"/>
      <c r="G111" s="486"/>
      <c r="H111" s="486"/>
      <c r="I111" s="486"/>
      <c r="J111" s="486"/>
      <c r="K111" s="156"/>
    </row>
    <row r="112" spans="1:11" s="469" customFormat="1" ht="12.5">
      <c r="C112" s="252">
        <f>+C80</f>
        <v>2020</v>
      </c>
      <c r="D112" s="486">
        <v>2860.6563746882812</v>
      </c>
      <c r="E112" s="486"/>
      <c r="F112" s="486"/>
      <c r="G112" s="486"/>
      <c r="H112" s="486"/>
      <c r="I112" s="486"/>
      <c r="J112" s="486"/>
      <c r="K112" s="156"/>
    </row>
    <row r="113" spans="1:12" s="469" customFormat="1" ht="12.5">
      <c r="D113" s="156"/>
      <c r="F113" s="156"/>
      <c r="G113" s="156"/>
      <c r="H113" s="156"/>
      <c r="I113" s="156"/>
      <c r="J113" s="156"/>
      <c r="K113" s="156"/>
    </row>
    <row r="114" spans="1:12" s="469" customFormat="1" ht="25.5" customHeight="1">
      <c r="A114" s="143" t="s">
        <v>22</v>
      </c>
      <c r="B114" s="514" t="s">
        <v>270</v>
      </c>
      <c r="C114" s="514"/>
      <c r="D114" s="514"/>
      <c r="E114" s="514"/>
      <c r="F114" s="514"/>
      <c r="G114" s="514"/>
      <c r="H114" s="514"/>
      <c r="I114" s="514"/>
      <c r="J114" s="514"/>
      <c r="K114" s="514"/>
      <c r="L114" s="473"/>
    </row>
    <row r="115" spans="1:12" s="469" customFormat="1" ht="40" customHeight="1">
      <c r="A115" s="143" t="s">
        <v>28</v>
      </c>
      <c r="B115" s="514" t="s">
        <v>271</v>
      </c>
      <c r="C115" s="514"/>
      <c r="D115" s="514"/>
      <c r="E115" s="514"/>
      <c r="F115" s="514"/>
      <c r="G115" s="514"/>
      <c r="H115" s="514"/>
      <c r="I115" s="514"/>
      <c r="J115" s="514"/>
      <c r="K115" s="514"/>
      <c r="L115" s="473"/>
    </row>
    <row r="116" spans="1:12" s="469" customFormat="1" ht="12.5"/>
    <row r="117" spans="1:12" s="469" customFormat="1" ht="12.5">
      <c r="B117" s="469" t="s">
        <v>522</v>
      </c>
    </row>
    <row r="118" spans="1:12" ht="45" customHeight="1">
      <c r="A118" s="143"/>
      <c r="B118" s="473"/>
      <c r="C118" s="473"/>
      <c r="D118" s="473"/>
      <c r="E118" s="473"/>
      <c r="F118" s="473"/>
      <c r="G118" s="473"/>
      <c r="H118" s="473"/>
      <c r="I118" s="473"/>
      <c r="J118" s="473"/>
      <c r="K118" s="473"/>
      <c r="L118" s="143" t="s">
        <v>385</v>
      </c>
    </row>
    <row r="119" spans="1:12" s="469" customFormat="1" ht="13">
      <c r="A119" s="245" t="s">
        <v>35</v>
      </c>
      <c r="B119" s="245"/>
      <c r="C119" s="245"/>
      <c r="D119" s="245"/>
      <c r="E119" s="245"/>
      <c r="F119" s="245"/>
      <c r="G119" s="245"/>
      <c r="H119" s="245"/>
      <c r="I119" s="245"/>
      <c r="J119" s="245"/>
      <c r="K119" s="245"/>
      <c r="L119" s="245"/>
    </row>
    <row r="120" spans="1:12" s="469" customFormat="1" ht="13">
      <c r="A120" s="245" t="s">
        <v>261</v>
      </c>
      <c r="B120" s="245"/>
      <c r="C120" s="245"/>
      <c r="D120" s="245"/>
      <c r="E120" s="245"/>
      <c r="F120" s="245"/>
      <c r="G120" s="245"/>
      <c r="H120" s="245"/>
      <c r="I120" s="245"/>
      <c r="J120" s="245"/>
      <c r="K120" s="245"/>
      <c r="L120" s="245"/>
    </row>
    <row r="121" spans="1:12" s="469" customFormat="1" ht="13">
      <c r="A121" s="245" t="s">
        <v>262</v>
      </c>
      <c r="B121" s="245"/>
      <c r="C121" s="245"/>
      <c r="D121" s="245"/>
      <c r="E121" s="245"/>
      <c r="F121" s="245"/>
      <c r="G121" s="245"/>
      <c r="H121" s="245"/>
      <c r="I121" s="245"/>
      <c r="J121" s="245"/>
      <c r="K121" s="245"/>
      <c r="L121" s="245"/>
    </row>
    <row r="122" spans="1:12" s="469" customFormat="1" ht="13">
      <c r="A122" s="299"/>
      <c r="B122" s="299"/>
      <c r="C122" s="299"/>
      <c r="D122" s="299"/>
      <c r="E122" s="299"/>
      <c r="F122" s="299"/>
      <c r="G122" s="299"/>
      <c r="H122" s="299"/>
      <c r="I122" s="299"/>
      <c r="J122" s="299"/>
      <c r="K122" s="299"/>
      <c r="L122" s="299"/>
    </row>
    <row r="123" spans="1:12" s="469" customFormat="1" ht="12.5"/>
    <row r="124" spans="1:12" s="469" customFormat="1" ht="12.5">
      <c r="A124" s="470"/>
      <c r="B124" s="470" t="s">
        <v>319</v>
      </c>
      <c r="C124" s="470"/>
      <c r="D124" s="470"/>
      <c r="E124" s="470"/>
      <c r="F124" s="470"/>
      <c r="G124" s="470"/>
      <c r="H124" s="470"/>
      <c r="I124" s="470"/>
      <c r="J124" s="470"/>
      <c r="K124" s="470"/>
    </row>
    <row r="125" spans="1:12" s="469" customFormat="1" ht="12.5"/>
    <row r="126" spans="1:12" s="469" customFormat="1" ht="12.5">
      <c r="C126" s="252" t="s">
        <v>203</v>
      </c>
      <c r="D126" s="513" t="s">
        <v>308</v>
      </c>
      <c r="E126" s="513"/>
      <c r="F126" s="513"/>
      <c r="G126" s="513"/>
      <c r="H126" s="513"/>
      <c r="I126" s="513"/>
      <c r="J126" s="513"/>
      <c r="K126" s="252"/>
    </row>
    <row r="127" spans="1:12" s="469" customFormat="1" ht="12.5">
      <c r="C127" s="26" t="s">
        <v>8</v>
      </c>
      <c r="D127" s="77">
        <f t="shared" ref="D127:J127" si="35">D101</f>
        <v>12</v>
      </c>
      <c r="E127" s="77">
        <f t="shared" si="35"/>
        <v>24</v>
      </c>
      <c r="F127" s="77">
        <f t="shared" si="35"/>
        <v>36</v>
      </c>
      <c r="G127" s="77">
        <f t="shared" si="35"/>
        <v>48</v>
      </c>
      <c r="H127" s="77">
        <f t="shared" si="35"/>
        <v>60</v>
      </c>
      <c r="I127" s="77">
        <f t="shared" si="35"/>
        <v>72</v>
      </c>
      <c r="J127" s="77">
        <f t="shared" si="35"/>
        <v>84</v>
      </c>
      <c r="K127" s="77"/>
    </row>
    <row r="128" spans="1:12" s="469" customFormat="1" ht="4.5" customHeight="1"/>
    <row r="129" spans="1:11" s="469" customFormat="1" ht="12.5">
      <c r="C129" s="252">
        <f t="shared" ref="C129:C138" si="36">C103</f>
        <v>2011</v>
      </c>
      <c r="D129" s="156"/>
      <c r="E129" s="156"/>
      <c r="F129" s="156"/>
      <c r="G129" s="156"/>
      <c r="H129" s="156"/>
      <c r="I129" s="156"/>
      <c r="J129" s="486">
        <v>24007.707880579888</v>
      </c>
      <c r="K129" s="156"/>
    </row>
    <row r="130" spans="1:11" s="469" customFormat="1" ht="12.5">
      <c r="C130" s="252">
        <f t="shared" si="36"/>
        <v>2012</v>
      </c>
      <c r="D130" s="156"/>
      <c r="E130" s="156"/>
      <c r="F130" s="156"/>
      <c r="G130" s="156"/>
      <c r="H130" s="156"/>
      <c r="I130" s="142">
        <f>+IF(I88&lt;I49,INDEX(LOGEST(H104:I104,H49:I49),2)*EXP((INDEX(LOGEST(H104:I104,H49:I49),1)-1)*I88),INDEX(LOGEST(I104:J104,I49:J49),2)*EXP((INDEX(LOGEST(I104:J104,I49:J49),1)-1)*I88))</f>
        <v>20787.522978933481</v>
      </c>
      <c r="J130" s="486">
        <v>21900.289658272646</v>
      </c>
      <c r="K130" s="156"/>
    </row>
    <row r="131" spans="1:11" s="469" customFormat="1" ht="12.5">
      <c r="C131" s="252">
        <f t="shared" si="36"/>
        <v>2013</v>
      </c>
      <c r="D131" s="156"/>
      <c r="E131" s="156"/>
      <c r="F131" s="156"/>
      <c r="G131" s="156"/>
      <c r="H131" s="142">
        <f>+IF(H89&lt;H50,INDEX(LOGEST(G105:H105,G50:H50),2)*EXP((INDEX(LOGEST(G105:H105,G50:H50),1)-1)*H89),INDEX(LOGEST(H105:I105,H50:I50),2)*EXP((INDEX(LOGEST(H105:I105,H50:I50),1)-1)*H89))</f>
        <v>17886.067912828279</v>
      </c>
      <c r="I131" s="142">
        <f>+IF(I89&lt;I50,INDEX(LOGEST(H105:I105,H50:I50),2)*EXP((INDEX(LOGEST(H105:I105,H50:I50),1)-1)*I89),INDEX(LOGEST(I105:J105,I50:J50),2)*EXP((INDEX(LOGEST(I105:J105,I50:J50),1)-1)*I89))</f>
        <v>19231.871253463414</v>
      </c>
      <c r="J131" s="486">
        <v>20138.651137160625</v>
      </c>
      <c r="K131" s="156"/>
    </row>
    <row r="132" spans="1:11" s="469" customFormat="1" ht="12.5">
      <c r="C132" s="252">
        <f t="shared" si="36"/>
        <v>2014</v>
      </c>
      <c r="D132" s="156"/>
      <c r="E132" s="156"/>
      <c r="F132" s="156"/>
      <c r="G132" s="142">
        <f>+IF(G90&lt;G51,INDEX(LOGEST(F106:G106,F51:G51),2)*EXP((INDEX(LOGEST(F106:G106,F51:G51),1)-1)*G90),INDEX(LOGEST(G106:H106,G51:H51),2)*EXP((INDEX(LOGEST(G106:H106,G51:H51),1)-1)*G90))</f>
        <v>15041.605387788235</v>
      </c>
      <c r="H132" s="142">
        <f>+IF(H90&lt;H51,INDEX(LOGEST(G106:H106,G51:H51),2)*EXP((INDEX(LOGEST(G106:H106,G51:H51),1)-1)*H90),INDEX(LOGEST(H106:I106,H51:I51),2)*EXP((INDEX(LOGEST(H106:I106,H51:I51),1)-1)*H90))</f>
        <v>17091.800463724834</v>
      </c>
      <c r="I132" s="142">
        <f>+IF(I90&lt;I51,INDEX(LOGEST(H106:I106,H51:I51),2)*EXP((INDEX(LOGEST(H106:I106,H51:I51),1)-1)*I90),INDEX(LOGEST(I106:J106,I51:J51),2)*EXP((INDEX(LOGEST(I106:J106,I51:J51),1)-1)*I90))</f>
        <v>18401.037304018639</v>
      </c>
      <c r="J132" s="142">
        <f>J106</f>
        <v>19308.761924245522</v>
      </c>
      <c r="K132" s="156"/>
    </row>
    <row r="133" spans="1:11" s="469" customFormat="1" ht="12.5">
      <c r="C133" s="252">
        <f t="shared" si="36"/>
        <v>2015</v>
      </c>
      <c r="D133" s="156"/>
      <c r="E133" s="156"/>
      <c r="F133" s="142">
        <f>+IF(F91&lt;F52,INDEX(LOGEST(E107:F107,E52:F52),2)*EXP((INDEX(LOGEST(E107:F107,E52:F52),1)-1)*F91),INDEX(LOGEST(F107:G107,F52:G52),2)*EXP((INDEX(LOGEST(F107:G107,F52:G52),1)-1)*F91))</f>
        <v>11152.088667667447</v>
      </c>
      <c r="G133" s="142">
        <f>+IF(G91&lt;G52,INDEX(LOGEST(F107:G107,F52:G52),2)*EXP((INDEX(LOGEST(F107:G107,F52:G52),1)-1)*G91),INDEX(LOGEST(G107:H107,G52:H52),2)*EXP((INDEX(LOGEST(G107:H107,G52:H52),1)-1)*G91))</f>
        <v>14436.712557595132</v>
      </c>
      <c r="H133" s="142">
        <f>+IF(H91&lt;H52,INDEX(LOGEST(G107:H107,G52:H52),2)*EXP((INDEX(LOGEST(G107:H107,G52:H52),1)-1)*H91),INDEX(LOGEST(H107:I107,H52:I52),2)*EXP((INDEX(LOGEST(H107:I107,H52:I52),1)-1)*H91))</f>
        <v>16374.5421990019</v>
      </c>
      <c r="I133" s="142">
        <f>I107</f>
        <v>17716.675832749148</v>
      </c>
      <c r="J133" s="156"/>
      <c r="K133" s="156"/>
    </row>
    <row r="134" spans="1:11" s="469" customFormat="1" ht="12.5">
      <c r="C134" s="252">
        <f t="shared" si="36"/>
        <v>2016</v>
      </c>
      <c r="D134" s="156"/>
      <c r="E134" s="142">
        <f>+IF(E92&lt;E53,INDEX(LOGEST(D108:E108,D53:E53),2)*EXP((INDEX(LOGEST(D108:E108,D53:E53),1)-1)*E92),INDEX(LOGEST(E108:F108,E53:F53),2)*EXP((INDEX(LOGEST(E108:F108,E53:F53),1)-1)*E92))</f>
        <v>6620.4716063020132</v>
      </c>
      <c r="F134" s="142">
        <f>+IF(F92&lt;F53,INDEX(LOGEST(E108:F108,E53:F53),2)*EXP((INDEX(LOGEST(E108:F108,E53:F53),1)-1)*F92),INDEX(LOGEST(F108:G108,F53:G53),2)*EXP((INDEX(LOGEST(F108:G108,F53:G53),1)-1)*F92))</f>
        <v>10570.794504329557</v>
      </c>
      <c r="G134" s="142">
        <f>+IF(G92&lt;G53,INDEX(LOGEST(F108:G108,F53:G53),2)*EXP((INDEX(LOGEST(F108:G108,F53:G53),1)-1)*G92),INDEX(LOGEST(G108:H108,G53:H53),2)*EXP((INDEX(LOGEST(G108:H108,G53:H53),1)-1)*G92))</f>
        <v>13515.788832552529</v>
      </c>
      <c r="H134" s="142">
        <f>H108</f>
        <v>15508.564608480938</v>
      </c>
      <c r="I134" s="156"/>
      <c r="J134" s="156"/>
      <c r="K134" s="156"/>
    </row>
    <row r="135" spans="1:11" s="469" customFormat="1" ht="12.5">
      <c r="C135" s="252">
        <f t="shared" si="36"/>
        <v>2017</v>
      </c>
      <c r="D135" s="142">
        <f>INDEX(LOGEST(D109:E109,D54:E54),2)*EXP((INDEX(LOGEST(D109:E109,D54:E54),1)-1)*D93)</f>
        <v>2806.4779323404446</v>
      </c>
      <c r="E135" s="142">
        <f>+IF(E93&lt;E54,INDEX(LOGEST(D109:E109,D54:E54),2)*EXP((INDEX(LOGEST(D109:E109,D54:E54),1)-1)*E93),INDEX(LOGEST(E109:F109,E54:F54),2)*EXP((INDEX(LOGEST(E109:F109,E54:F54),1)-1)*E93))</f>
        <v>6275.2198820489348</v>
      </c>
      <c r="F135" s="142">
        <f>+IF(F93&lt;F54,INDEX(LOGEST(E109:F109,E54:F54),2)*EXP((INDEX(LOGEST(E109:F109,E54:F54),1)-1)*F93),INDEX(LOGEST(F109:G109,F54:G54),2)*EXP((INDEX(LOGEST(F109:G109,F54:G54),1)-1)*F93))</f>
        <v>10168.753722087271</v>
      </c>
      <c r="G135" s="142">
        <f>G109</f>
        <v>13466.972303825565</v>
      </c>
      <c r="H135" s="156"/>
      <c r="I135" s="156"/>
      <c r="J135" s="156"/>
      <c r="K135" s="156"/>
    </row>
    <row r="136" spans="1:11" s="469" customFormat="1" ht="12.5">
      <c r="C136" s="252">
        <f t="shared" si="36"/>
        <v>2018</v>
      </c>
      <c r="D136" s="142">
        <f>INDEX(LOGEST(D110:E110,D55:E55),2)*EXP((INDEX(LOGEST(D110:E110,D55:E55),1)-1)*D94)</f>
        <v>2901.0575861734137</v>
      </c>
      <c r="E136" s="142">
        <f>+IF(E94&lt;E55,INDEX(LOGEST(D110:E110,D55:E55),2)*EXP((INDEX(LOGEST(D110:E110,D55:E55),1)-1)*E94),INDEX(LOGEST(E110:F110,E55:F55),2)*EXP((INDEX(LOGEST(E110:F110,E55:F55),1)-1)*E94))</f>
        <v>6537.9628364783712</v>
      </c>
      <c r="F136" s="142">
        <f>F110</f>
        <v>11097.733695905235</v>
      </c>
      <c r="G136" s="156"/>
      <c r="H136" s="156"/>
      <c r="I136" s="156"/>
      <c r="J136" s="156"/>
      <c r="K136" s="156"/>
    </row>
    <row r="137" spans="1:11" s="469" customFormat="1" ht="12.5">
      <c r="C137" s="252">
        <f t="shared" si="36"/>
        <v>2019</v>
      </c>
      <c r="D137" s="142">
        <f>INDEX(LOGEST(D111:E111,D56:E56),2)*EXP((INDEX(LOGEST(D111:E111,D56:E56),1)-1)*D95)</f>
        <v>3328.3406426009819</v>
      </c>
      <c r="E137" s="142">
        <f>E111</f>
        <v>6684.6436242607215</v>
      </c>
      <c r="F137" s="156"/>
      <c r="G137" s="156"/>
      <c r="H137" s="156"/>
      <c r="I137" s="156"/>
      <c r="J137" s="156"/>
      <c r="K137" s="156"/>
    </row>
    <row r="138" spans="1:11" s="469" customFormat="1" ht="12.5">
      <c r="C138" s="252">
        <f t="shared" si="36"/>
        <v>2020</v>
      </c>
      <c r="D138" s="142">
        <f>D112</f>
        <v>2860.6563746882812</v>
      </c>
      <c r="E138" s="156"/>
      <c r="F138" s="156"/>
      <c r="G138" s="156"/>
      <c r="H138" s="156"/>
      <c r="I138" s="156"/>
      <c r="J138" s="156"/>
      <c r="K138" s="156"/>
    </row>
    <row r="139" spans="1:11" s="469" customFormat="1" ht="12.5">
      <c r="D139" s="156"/>
      <c r="F139" s="156"/>
      <c r="G139" s="156"/>
      <c r="H139" s="156"/>
      <c r="I139" s="156"/>
      <c r="J139" s="156"/>
      <c r="K139" s="156"/>
    </row>
    <row r="140" spans="1:11" s="469" customFormat="1" ht="12.5">
      <c r="A140" s="470"/>
      <c r="B140" s="470" t="s">
        <v>320</v>
      </c>
      <c r="C140" s="470"/>
      <c r="D140" s="470"/>
      <c r="E140" s="470"/>
      <c r="F140" s="470"/>
      <c r="G140" s="470"/>
      <c r="H140" s="470"/>
      <c r="I140" s="470"/>
      <c r="J140" s="470"/>
      <c r="K140" s="470"/>
    </row>
    <row r="141" spans="1:11" s="469" customFormat="1" ht="12.5"/>
    <row r="142" spans="1:11" s="469" customFormat="1" ht="12.5">
      <c r="C142" s="252" t="s">
        <v>203</v>
      </c>
      <c r="D142" s="513" t="s">
        <v>308</v>
      </c>
      <c r="E142" s="513"/>
      <c r="F142" s="513"/>
      <c r="G142" s="513"/>
      <c r="H142" s="513"/>
      <c r="I142" s="513"/>
      <c r="J142" s="513"/>
      <c r="K142" s="252"/>
    </row>
    <row r="143" spans="1:11" s="469" customFormat="1" ht="12.5">
      <c r="C143" s="26" t="s">
        <v>8</v>
      </c>
      <c r="D143" s="77">
        <f t="shared" ref="D143:J143" si="37">+D127</f>
        <v>12</v>
      </c>
      <c r="E143" s="77">
        <f t="shared" si="37"/>
        <v>24</v>
      </c>
      <c r="F143" s="77">
        <f t="shared" si="37"/>
        <v>36</v>
      </c>
      <c r="G143" s="77">
        <f t="shared" si="37"/>
        <v>48</v>
      </c>
      <c r="H143" s="77">
        <f t="shared" si="37"/>
        <v>60</v>
      </c>
      <c r="I143" s="77">
        <f t="shared" si="37"/>
        <v>72</v>
      </c>
      <c r="J143" s="77">
        <f t="shared" si="37"/>
        <v>84</v>
      </c>
      <c r="K143" s="77"/>
    </row>
    <row r="144" spans="1:11" s="469" customFormat="1" ht="4.5" customHeight="1"/>
    <row r="145" spans="1:12" s="469" customFormat="1" ht="12.5">
      <c r="C145" s="252">
        <f t="shared" ref="C145:C154" si="38">+C129</f>
        <v>2011</v>
      </c>
      <c r="D145" s="156"/>
      <c r="E145" s="156"/>
      <c r="F145" s="156"/>
      <c r="G145" s="156"/>
      <c r="H145" s="156"/>
      <c r="I145" s="156"/>
      <c r="J145" s="142">
        <f t="shared" ref="J145" si="39">J129*J87/1000</f>
        <v>2713781.3636923437</v>
      </c>
      <c r="K145" s="156"/>
    </row>
    <row r="146" spans="1:12" s="469" customFormat="1" ht="12.5">
      <c r="C146" s="252">
        <f t="shared" si="38"/>
        <v>2012</v>
      </c>
      <c r="D146" s="156"/>
      <c r="E146" s="156"/>
      <c r="F146" s="156"/>
      <c r="G146" s="156"/>
      <c r="H146" s="156"/>
      <c r="I146" s="142">
        <f t="shared" ref="I146:J146" si="40">I130*I88/1000</f>
        <v>2431063.4987198496</v>
      </c>
      <c r="J146" s="142">
        <f t="shared" si="40"/>
        <v>2622263.2321528844</v>
      </c>
      <c r="K146" s="156"/>
    </row>
    <row r="147" spans="1:12" s="469" customFormat="1" ht="12.5">
      <c r="C147" s="252">
        <f t="shared" si="38"/>
        <v>2013</v>
      </c>
      <c r="D147" s="156"/>
      <c r="E147" s="156"/>
      <c r="F147" s="156"/>
      <c r="G147" s="156"/>
      <c r="H147" s="142">
        <f t="shared" ref="H147:I147" si="41">H131*H89/1000</f>
        <v>2143161.0900404104</v>
      </c>
      <c r="I147" s="142">
        <f t="shared" si="41"/>
        <v>2392749.3970313738</v>
      </c>
      <c r="J147" s="142">
        <f>J131*J89/1000</f>
        <v>2565304.4671736076</v>
      </c>
      <c r="K147" s="156"/>
    </row>
    <row r="148" spans="1:12" s="469" customFormat="1" ht="12.5">
      <c r="C148" s="252">
        <f t="shared" si="38"/>
        <v>2014</v>
      </c>
      <c r="D148" s="156"/>
      <c r="E148" s="156"/>
      <c r="F148" s="156"/>
      <c r="G148" s="142">
        <f t="shared" ref="G148:H148" si="42">G132*G90/1000</f>
        <v>1742461.2627389932</v>
      </c>
      <c r="H148" s="142">
        <f t="shared" si="42"/>
        <v>2121895.7803466632</v>
      </c>
      <c r="I148" s="142">
        <f>I132*I90/1000</f>
        <v>2371997.7508692532</v>
      </c>
      <c r="J148" s="142">
        <f t="shared" ref="J148" si="43">J132*J90/1000</f>
        <v>2548351.0899999994</v>
      </c>
      <c r="K148" s="156"/>
    </row>
    <row r="149" spans="1:12" s="469" customFormat="1" ht="12.5">
      <c r="C149" s="252">
        <f t="shared" si="38"/>
        <v>2015</v>
      </c>
      <c r="D149" s="156"/>
      <c r="E149" s="156"/>
      <c r="F149" s="142">
        <f t="shared" ref="F149:G149" si="44">F133*F91/1000</f>
        <v>1141476.0556460554</v>
      </c>
      <c r="G149" s="142">
        <f t="shared" si="44"/>
        <v>1721135.6390563743</v>
      </c>
      <c r="H149" s="142">
        <f>H133*H91/1000</f>
        <v>2092103.8988884944</v>
      </c>
      <c r="I149" s="142">
        <f t="shared" ref="I149" si="45">I133*I91/1000</f>
        <v>2350347.3659999999</v>
      </c>
      <c r="J149" s="156"/>
      <c r="K149" s="156"/>
    </row>
    <row r="150" spans="1:12" s="469" customFormat="1" ht="12.5">
      <c r="C150" s="252">
        <f t="shared" si="38"/>
        <v>2016</v>
      </c>
      <c r="D150" s="156"/>
      <c r="E150" s="142">
        <f t="shared" ref="E150:F150" si="46">E134*E92/1000</f>
        <v>513658.22426290752</v>
      </c>
      <c r="F150" s="142">
        <f t="shared" si="46"/>
        <v>1107766.9553683072</v>
      </c>
      <c r="G150" s="142">
        <f>G134*G92/1000</f>
        <v>1649750.8829016075</v>
      </c>
      <c r="H150" s="142">
        <f t="shared" ref="H150" si="47">H134*H92/1000</f>
        <v>2028690.845</v>
      </c>
      <c r="I150" s="156"/>
      <c r="J150" s="156"/>
      <c r="K150" s="156"/>
    </row>
    <row r="151" spans="1:12" s="469" customFormat="1" ht="12.5">
      <c r="C151" s="252">
        <f t="shared" si="38"/>
        <v>2017</v>
      </c>
      <c r="D151" s="142">
        <f t="shared" ref="D151:D152" si="48">D135*D93/1000</f>
        <v>99157.31107742741</v>
      </c>
      <c r="E151" s="142">
        <f t="shared" ref="E151" si="49">E135*E93/1000</f>
        <v>488797.91789687355</v>
      </c>
      <c r="F151" s="142">
        <f>F135*F93/1000</f>
        <v>1069851.7110271854</v>
      </c>
      <c r="G151" s="142">
        <f t="shared" ref="G151" si="50">G135*G93/1000</f>
        <v>1650296.6540000001</v>
      </c>
      <c r="H151" s="156"/>
      <c r="I151" s="156"/>
      <c r="J151" s="156"/>
      <c r="K151" s="156"/>
    </row>
    <row r="152" spans="1:12" s="469" customFormat="1" ht="12.5">
      <c r="C152" s="252">
        <f t="shared" si="38"/>
        <v>2018</v>
      </c>
      <c r="D152" s="142">
        <f t="shared" si="48"/>
        <v>104614.29842746659</v>
      </c>
      <c r="E152" s="142">
        <f>E136*E94/1000</f>
        <v>519773.86010540702</v>
      </c>
      <c r="F152" s="142">
        <f t="shared" ref="F152" si="51">F136*F94/1000</f>
        <v>1191685.7420000001</v>
      </c>
      <c r="G152" s="156"/>
      <c r="H152" s="156"/>
      <c r="I152" s="156"/>
      <c r="J152" s="156"/>
      <c r="K152" s="156"/>
    </row>
    <row r="153" spans="1:12" s="469" customFormat="1" ht="12.5">
      <c r="C153" s="252">
        <f t="shared" si="38"/>
        <v>2019</v>
      </c>
      <c r="D153" s="142">
        <f>D137*D95/1000</f>
        <v>122016.92377527531</v>
      </c>
      <c r="E153" s="142">
        <f t="shared" ref="E153" si="52">E137*E95/1000</f>
        <v>540266.26699999999</v>
      </c>
      <c r="F153" s="156"/>
      <c r="G153" s="156"/>
      <c r="H153" s="156"/>
      <c r="I153" s="156"/>
      <c r="J153" s="156"/>
      <c r="K153" s="156"/>
    </row>
    <row r="154" spans="1:12" s="469" customFormat="1" ht="12.5">
      <c r="C154" s="252">
        <f t="shared" si="38"/>
        <v>2020</v>
      </c>
      <c r="D154" s="142">
        <f t="shared" ref="D154" si="53">D138*D96/1000</f>
        <v>91769.856500000053</v>
      </c>
      <c r="E154" s="156"/>
      <c r="F154" s="156"/>
      <c r="G154" s="156"/>
      <c r="H154" s="156"/>
      <c r="I154" s="156"/>
      <c r="J154" s="156"/>
      <c r="K154" s="156"/>
    </row>
    <row r="155" spans="1:12" s="469" customFormat="1" ht="12.5">
      <c r="C155" s="252"/>
      <c r="D155" s="156"/>
      <c r="F155" s="156"/>
      <c r="G155" s="156"/>
      <c r="H155" s="156"/>
      <c r="I155" s="156"/>
      <c r="J155" s="156"/>
      <c r="K155" s="156"/>
    </row>
    <row r="156" spans="1:12" s="469" customFormat="1" ht="13">
      <c r="A156" s="470"/>
      <c r="B156" s="470" t="s">
        <v>288</v>
      </c>
      <c r="C156" s="470"/>
      <c r="D156" s="470"/>
      <c r="E156" s="470"/>
      <c r="F156" s="470"/>
      <c r="G156" s="470"/>
      <c r="H156" s="470"/>
      <c r="I156" s="470"/>
      <c r="J156" s="470"/>
      <c r="K156" s="470"/>
      <c r="L156" s="299"/>
    </row>
    <row r="157" spans="1:12" s="469" customFormat="1" ht="13">
      <c r="L157" s="299"/>
    </row>
    <row r="158" spans="1:12" s="469" customFormat="1" ht="13">
      <c r="C158" s="252" t="s">
        <v>203</v>
      </c>
      <c r="D158" s="513" t="s">
        <v>308</v>
      </c>
      <c r="E158" s="513"/>
      <c r="F158" s="513"/>
      <c r="G158" s="513"/>
      <c r="H158" s="513"/>
      <c r="I158" s="513"/>
      <c r="J158" s="513"/>
      <c r="K158" s="252"/>
      <c r="L158" s="299"/>
    </row>
    <row r="159" spans="1:12" s="469" customFormat="1" ht="13">
      <c r="C159" s="26" t="s">
        <v>8</v>
      </c>
      <c r="D159" s="77">
        <f t="shared" ref="D159:J159" si="54">+D127</f>
        <v>12</v>
      </c>
      <c r="E159" s="77">
        <f t="shared" si="54"/>
        <v>24</v>
      </c>
      <c r="F159" s="77">
        <f t="shared" si="54"/>
        <v>36</v>
      </c>
      <c r="G159" s="77">
        <f t="shared" si="54"/>
        <v>48</v>
      </c>
      <c r="H159" s="77">
        <f t="shared" si="54"/>
        <v>60</v>
      </c>
      <c r="I159" s="77">
        <f t="shared" si="54"/>
        <v>72</v>
      </c>
      <c r="J159" s="77">
        <f t="shared" si="54"/>
        <v>84</v>
      </c>
      <c r="K159" s="77"/>
      <c r="L159" s="299"/>
    </row>
    <row r="160" spans="1:12" s="469" customFormat="1" ht="4.5" customHeight="1"/>
    <row r="161" spans="1:12" s="469" customFormat="1" ht="13">
      <c r="C161" s="252">
        <f t="shared" ref="C161:C170" si="55">+C129</f>
        <v>2011</v>
      </c>
      <c r="D161" s="486"/>
      <c r="E161" s="486"/>
      <c r="F161" s="486"/>
      <c r="G161" s="486"/>
      <c r="H161" s="486"/>
      <c r="I161" s="486"/>
      <c r="J161" s="486">
        <v>651779.44187892938</v>
      </c>
      <c r="K161" s="156"/>
      <c r="L161" s="299"/>
    </row>
    <row r="162" spans="1:12" s="469" customFormat="1" ht="13">
      <c r="C162" s="252">
        <f t="shared" si="55"/>
        <v>2012</v>
      </c>
      <c r="D162" s="486"/>
      <c r="E162" s="486"/>
      <c r="F162" s="486"/>
      <c r="G162" s="486"/>
      <c r="H162" s="486"/>
      <c r="I162" s="486">
        <v>695877.72443792736</v>
      </c>
      <c r="J162" s="486">
        <v>572636.1007338413</v>
      </c>
      <c r="K162" s="156"/>
      <c r="L162" s="299"/>
    </row>
    <row r="163" spans="1:12" s="469" customFormat="1" ht="13">
      <c r="C163" s="252">
        <f t="shared" si="55"/>
        <v>2013</v>
      </c>
      <c r="D163" s="486"/>
      <c r="E163" s="486"/>
      <c r="F163" s="486"/>
      <c r="G163" s="486"/>
      <c r="H163" s="486">
        <v>740913.05957353092</v>
      </c>
      <c r="I163" s="486">
        <v>588386.47829797445</v>
      </c>
      <c r="J163" s="486">
        <v>469568.2360000005</v>
      </c>
      <c r="K163" s="156"/>
      <c r="L163" s="299"/>
    </row>
    <row r="164" spans="1:12" s="469" customFormat="1" ht="13">
      <c r="C164" s="252">
        <f t="shared" si="55"/>
        <v>2014</v>
      </c>
      <c r="D164" s="486"/>
      <c r="E164" s="486"/>
      <c r="F164" s="486"/>
      <c r="G164" s="486">
        <v>843114.9639372282</v>
      </c>
      <c r="H164" s="486">
        <v>661298.69503717346</v>
      </c>
      <c r="I164" s="486">
        <v>538829.44200000004</v>
      </c>
      <c r="J164" s="486">
        <v>447519.52100000001</v>
      </c>
      <c r="K164" s="156"/>
      <c r="L164" s="299"/>
    </row>
    <row r="165" spans="1:12" s="469" customFormat="1" ht="13">
      <c r="C165" s="252">
        <f t="shared" si="55"/>
        <v>2015</v>
      </c>
      <c r="D165" s="486"/>
      <c r="E165" s="486"/>
      <c r="F165" s="486">
        <v>905477.41944637091</v>
      </c>
      <c r="G165" s="486">
        <v>783840.61963507964</v>
      </c>
      <c r="H165" s="486">
        <v>621589.10300000047</v>
      </c>
      <c r="I165" s="486">
        <v>514954.17300000001</v>
      </c>
      <c r="J165" s="486"/>
      <c r="K165" s="156"/>
      <c r="L165" s="299"/>
    </row>
    <row r="166" spans="1:12" s="469" customFormat="1" ht="13">
      <c r="C166" s="252">
        <f t="shared" si="55"/>
        <v>2016</v>
      </c>
      <c r="D166" s="486"/>
      <c r="E166" s="486">
        <v>829758.90899999999</v>
      </c>
      <c r="F166" s="486">
        <v>866037.09299999999</v>
      </c>
      <c r="G166" s="486">
        <v>742368.05099999998</v>
      </c>
      <c r="H166" s="486">
        <v>617835.16899999999</v>
      </c>
      <c r="I166" s="486"/>
      <c r="J166" s="486"/>
      <c r="K166" s="156"/>
      <c r="L166" s="299"/>
    </row>
    <row r="167" spans="1:12" s="469" customFormat="1" ht="13">
      <c r="C167" s="252">
        <f t="shared" si="55"/>
        <v>2017</v>
      </c>
      <c r="D167" s="486">
        <v>401229.71299999999</v>
      </c>
      <c r="E167" s="486">
        <v>825093.40800000005</v>
      </c>
      <c r="F167" s="486">
        <v>846418.34400000004</v>
      </c>
      <c r="G167" s="486">
        <v>739729.24600000004</v>
      </c>
      <c r="H167" s="486"/>
      <c r="I167" s="486"/>
      <c r="J167" s="486"/>
      <c r="K167" s="156"/>
      <c r="L167" s="299"/>
    </row>
    <row r="168" spans="1:12" s="469" customFormat="1" ht="13">
      <c r="C168" s="252">
        <f t="shared" si="55"/>
        <v>2018</v>
      </c>
      <c r="D168" s="486">
        <v>420889.93699999998</v>
      </c>
      <c r="E168" s="486">
        <v>876396.87199999997</v>
      </c>
      <c r="F168" s="486">
        <v>904571.19</v>
      </c>
      <c r="G168" s="486"/>
      <c r="H168" s="486"/>
      <c r="I168" s="486"/>
      <c r="J168" s="486"/>
      <c r="K168" s="156"/>
      <c r="L168" s="299"/>
    </row>
    <row r="169" spans="1:12" s="469" customFormat="1" ht="13">
      <c r="C169" s="252">
        <f t="shared" si="55"/>
        <v>2019</v>
      </c>
      <c r="D169" s="486">
        <v>402573.35</v>
      </c>
      <c r="E169" s="486">
        <v>880822.94499999995</v>
      </c>
      <c r="F169" s="486"/>
      <c r="G169" s="486"/>
      <c r="H169" s="486"/>
      <c r="I169" s="486"/>
      <c r="J169" s="486"/>
      <c r="K169" s="156"/>
      <c r="L169" s="299"/>
    </row>
    <row r="170" spans="1:12" s="469" customFormat="1" ht="13">
      <c r="C170" s="252">
        <f t="shared" si="55"/>
        <v>2020</v>
      </c>
      <c r="D170" s="486">
        <v>369576.73548999999</v>
      </c>
      <c r="E170" s="486"/>
      <c r="F170" s="486"/>
      <c r="G170" s="486"/>
      <c r="H170" s="486"/>
      <c r="I170" s="486"/>
      <c r="J170" s="486"/>
      <c r="K170" s="156"/>
      <c r="L170" s="299"/>
    </row>
    <row r="171" spans="1:12" s="469" customFormat="1" ht="12.5">
      <c r="C171" s="252"/>
      <c r="D171" s="156"/>
      <c r="F171" s="156"/>
      <c r="G171" s="156"/>
      <c r="H171" s="156"/>
      <c r="I171" s="156"/>
      <c r="J171" s="156"/>
      <c r="K171" s="156"/>
    </row>
    <row r="172" spans="1:12" s="469" customFormat="1" ht="24.75" customHeight="1">
      <c r="A172" s="143" t="s">
        <v>38</v>
      </c>
      <c r="B172" s="514" t="s">
        <v>273</v>
      </c>
      <c r="C172" s="514"/>
      <c r="D172" s="514"/>
      <c r="E172" s="514"/>
      <c r="F172" s="514"/>
      <c r="G172" s="514"/>
      <c r="H172" s="514"/>
      <c r="I172" s="514"/>
      <c r="J172" s="514"/>
      <c r="K172" s="514"/>
      <c r="L172" s="473"/>
    </row>
    <row r="173" spans="1:12" s="469" customFormat="1" ht="26.25" customHeight="1">
      <c r="A173" s="143" t="s">
        <v>57</v>
      </c>
      <c r="B173" s="514" t="s">
        <v>289</v>
      </c>
      <c r="C173" s="514"/>
      <c r="D173" s="514"/>
      <c r="E173" s="514"/>
      <c r="F173" s="514"/>
      <c r="G173" s="514"/>
      <c r="H173" s="514"/>
      <c r="I173" s="514"/>
      <c r="J173" s="514"/>
      <c r="K173" s="514"/>
      <c r="L173" s="473"/>
    </row>
    <row r="174" spans="1:12" s="469" customFormat="1" ht="12.5">
      <c r="B174" s="515"/>
      <c r="C174" s="515"/>
      <c r="D174" s="515"/>
      <c r="E174" s="515"/>
      <c r="F174" s="515"/>
      <c r="G174" s="515"/>
      <c r="H174" s="515"/>
      <c r="I174" s="515"/>
      <c r="J174" s="515"/>
    </row>
    <row r="175" spans="1:12" s="469" customFormat="1" ht="12.5">
      <c r="B175" s="469" t="s">
        <v>522</v>
      </c>
    </row>
    <row r="176" spans="1:12" ht="45" customHeight="1">
      <c r="A176" s="469"/>
      <c r="B176" s="469"/>
      <c r="C176" s="252"/>
      <c r="D176" s="365"/>
      <c r="E176" s="365"/>
      <c r="F176" s="73"/>
      <c r="G176" s="73"/>
      <c r="H176" s="73"/>
      <c r="I176" s="73"/>
      <c r="J176" s="469"/>
      <c r="K176" s="469"/>
      <c r="L176" s="143" t="s">
        <v>386</v>
      </c>
    </row>
    <row r="177" spans="1:12" s="469" customFormat="1" ht="13">
      <c r="A177" s="245" t="s">
        <v>35</v>
      </c>
      <c r="B177" s="245"/>
      <c r="C177" s="245"/>
      <c r="D177" s="245"/>
      <c r="E177" s="245"/>
      <c r="F177" s="245"/>
      <c r="G177" s="245"/>
      <c r="H177" s="245"/>
      <c r="I177" s="245"/>
      <c r="J177" s="245"/>
      <c r="K177" s="245"/>
      <c r="L177" s="245"/>
    </row>
    <row r="178" spans="1:12" s="469" customFormat="1" ht="13">
      <c r="A178" s="245" t="s">
        <v>261</v>
      </c>
      <c r="B178" s="245"/>
      <c r="C178" s="245"/>
      <c r="D178" s="245"/>
      <c r="E178" s="245"/>
      <c r="F178" s="245"/>
      <c r="G178" s="245"/>
      <c r="H178" s="245"/>
      <c r="I178" s="245"/>
      <c r="J178" s="245"/>
      <c r="K178" s="245"/>
      <c r="L178" s="245"/>
    </row>
    <row r="179" spans="1:12" s="469" customFormat="1" ht="13">
      <c r="A179" s="245" t="s">
        <v>262</v>
      </c>
      <c r="B179" s="245"/>
      <c r="C179" s="245"/>
      <c r="D179" s="245"/>
      <c r="E179" s="245"/>
      <c r="F179" s="245"/>
      <c r="G179" s="245"/>
      <c r="H179" s="245"/>
      <c r="I179" s="245"/>
      <c r="J179" s="245"/>
      <c r="K179" s="245"/>
      <c r="L179" s="245"/>
    </row>
    <row r="180" spans="1:12" s="469" customFormat="1" ht="13">
      <c r="A180" s="299"/>
      <c r="B180" s="299"/>
      <c r="C180" s="299"/>
      <c r="D180" s="299"/>
      <c r="E180" s="299"/>
      <c r="F180" s="299"/>
      <c r="G180" s="299"/>
      <c r="H180" s="299"/>
      <c r="I180" s="299"/>
      <c r="J180" s="299"/>
      <c r="K180" s="299"/>
      <c r="L180" s="299"/>
    </row>
    <row r="181" spans="1:12" s="469" customFormat="1" ht="13">
      <c r="A181" s="299"/>
      <c r="B181" s="299"/>
      <c r="C181" s="299"/>
      <c r="D181" s="299"/>
      <c r="E181" s="299"/>
      <c r="F181" s="299"/>
      <c r="G181" s="299"/>
      <c r="H181" s="299"/>
      <c r="I181" s="299"/>
      <c r="J181" s="299"/>
      <c r="K181" s="299"/>
      <c r="L181" s="299"/>
    </row>
    <row r="182" spans="1:12" s="469" customFormat="1" ht="12.5">
      <c r="A182" s="470"/>
      <c r="B182" s="470" t="s">
        <v>321</v>
      </c>
      <c r="C182" s="470"/>
      <c r="D182" s="470"/>
      <c r="E182" s="470"/>
      <c r="F182" s="470"/>
      <c r="G182" s="470"/>
      <c r="H182" s="470"/>
      <c r="I182" s="470"/>
      <c r="J182" s="470"/>
      <c r="K182" s="470"/>
      <c r="L182" s="470"/>
    </row>
    <row r="183" spans="1:12" s="469" customFormat="1" ht="12.5"/>
    <row r="184" spans="1:12" s="469" customFormat="1" ht="12.5">
      <c r="C184" s="252" t="s">
        <v>203</v>
      </c>
      <c r="D184" s="513" t="s">
        <v>308</v>
      </c>
      <c r="E184" s="513"/>
      <c r="F184" s="513"/>
      <c r="G184" s="513"/>
      <c r="H184" s="513"/>
      <c r="I184" s="513"/>
      <c r="J184" s="513"/>
      <c r="K184" s="252"/>
    </row>
    <row r="185" spans="1:12" s="469" customFormat="1" ht="12.5">
      <c r="C185" s="26" t="s">
        <v>8</v>
      </c>
      <c r="D185" s="77">
        <f t="shared" ref="D185:J185" si="56">D159</f>
        <v>12</v>
      </c>
      <c r="E185" s="77">
        <f t="shared" si="56"/>
        <v>24</v>
      </c>
      <c r="F185" s="77">
        <f t="shared" si="56"/>
        <v>36</v>
      </c>
      <c r="G185" s="77">
        <f t="shared" si="56"/>
        <v>48</v>
      </c>
      <c r="H185" s="77">
        <f t="shared" si="56"/>
        <v>60</v>
      </c>
      <c r="I185" s="77">
        <f t="shared" si="56"/>
        <v>72</v>
      </c>
      <c r="J185" s="77">
        <f t="shared" si="56"/>
        <v>84</v>
      </c>
      <c r="K185" s="77"/>
    </row>
    <row r="186" spans="1:12" s="469" customFormat="1" ht="4.5" customHeight="1"/>
    <row r="187" spans="1:12" s="469" customFormat="1" ht="12.5">
      <c r="C187" s="252">
        <f t="shared" ref="C187:C196" si="57">C161</f>
        <v>2011</v>
      </c>
      <c r="D187" s="365"/>
      <c r="E187" s="365"/>
      <c r="F187" s="365"/>
      <c r="G187" s="365"/>
      <c r="H187" s="365"/>
      <c r="I187" s="365"/>
      <c r="J187" s="365">
        <v>59398.249474001721</v>
      </c>
      <c r="K187" s="73"/>
    </row>
    <row r="188" spans="1:12" s="469" customFormat="1" ht="12.5">
      <c r="C188" s="252">
        <f t="shared" si="57"/>
        <v>2012</v>
      </c>
      <c r="D188" s="365"/>
      <c r="E188" s="365"/>
      <c r="F188" s="365"/>
      <c r="G188" s="365"/>
      <c r="H188" s="365"/>
      <c r="I188" s="365">
        <v>46797.254488884988</v>
      </c>
      <c r="J188" s="365">
        <v>56221.112225696117</v>
      </c>
      <c r="K188" s="73"/>
    </row>
    <row r="189" spans="1:12" s="469" customFormat="1" ht="12.5">
      <c r="C189" s="252">
        <f t="shared" si="57"/>
        <v>2013</v>
      </c>
      <c r="D189" s="365"/>
      <c r="E189" s="365"/>
      <c r="F189" s="365"/>
      <c r="G189" s="365"/>
      <c r="H189" s="365">
        <v>35824.585852915894</v>
      </c>
      <c r="I189" s="365">
        <v>42669.837299275641</v>
      </c>
      <c r="J189" s="365">
        <v>50736.708373851863</v>
      </c>
      <c r="K189" s="73"/>
    </row>
    <row r="190" spans="1:12" s="469" customFormat="1" ht="12.5">
      <c r="C190" s="252">
        <f t="shared" si="57"/>
        <v>2014</v>
      </c>
      <c r="D190" s="365"/>
      <c r="E190" s="365"/>
      <c r="F190" s="365"/>
      <c r="G190" s="365">
        <v>27561.287399193508</v>
      </c>
      <c r="H190" s="365">
        <v>34079.021044107525</v>
      </c>
      <c r="I190" s="365">
        <v>41426.112247251483</v>
      </c>
      <c r="J190" s="365">
        <v>48994.911429822641</v>
      </c>
      <c r="K190" s="73"/>
    </row>
    <row r="191" spans="1:12" s="469" customFormat="1" ht="12.5">
      <c r="C191" s="252">
        <f t="shared" si="57"/>
        <v>2015</v>
      </c>
      <c r="D191" s="365"/>
      <c r="E191" s="365"/>
      <c r="F191" s="365">
        <v>19877.5428131265</v>
      </c>
      <c r="G191" s="365">
        <v>27966.331001001581</v>
      </c>
      <c r="H191" s="365">
        <v>35223.499914999746</v>
      </c>
      <c r="I191" s="365">
        <v>41123.955678006707</v>
      </c>
      <c r="J191" s="365"/>
      <c r="K191" s="73"/>
    </row>
    <row r="192" spans="1:12" s="469" customFormat="1" ht="12.5">
      <c r="C192" s="252">
        <f t="shared" si="57"/>
        <v>2016</v>
      </c>
      <c r="D192" s="365"/>
      <c r="E192" s="365">
        <v>12480.580425365502</v>
      </c>
      <c r="F192" s="365">
        <v>20327.600530466621</v>
      </c>
      <c r="G192" s="365">
        <v>28690.552695652175</v>
      </c>
      <c r="H192" s="365">
        <v>35371.567470086447</v>
      </c>
      <c r="I192" s="365"/>
      <c r="J192" s="365"/>
      <c r="K192" s="73"/>
    </row>
    <row r="193" spans="1:12" s="469" customFormat="1" ht="12.5">
      <c r="C193" s="252">
        <f t="shared" si="57"/>
        <v>2017</v>
      </c>
      <c r="D193" s="365">
        <v>4882.8627252923779</v>
      </c>
      <c r="E193" s="365">
        <v>13085.297089842201</v>
      </c>
      <c r="F193" s="365">
        <v>21384.460827164548</v>
      </c>
      <c r="G193" s="365">
        <v>28579.7336475679</v>
      </c>
      <c r="H193" s="365"/>
      <c r="I193" s="365"/>
      <c r="J193" s="365"/>
      <c r="K193" s="73"/>
    </row>
    <row r="194" spans="1:12" s="469" customFormat="1" ht="12.5">
      <c r="C194" s="252">
        <f t="shared" si="57"/>
        <v>2018</v>
      </c>
      <c r="D194" s="365">
        <v>5100.3361164295584</v>
      </c>
      <c r="E194" s="365">
        <v>13661.468597527708</v>
      </c>
      <c r="F194" s="365">
        <v>21030.670278061938</v>
      </c>
      <c r="G194" s="365"/>
      <c r="H194" s="365"/>
      <c r="I194" s="365"/>
      <c r="J194" s="365"/>
      <c r="K194" s="73"/>
    </row>
    <row r="195" spans="1:12" s="469" customFormat="1" ht="12.5">
      <c r="C195" s="252">
        <f t="shared" si="57"/>
        <v>2019</v>
      </c>
      <c r="D195" s="365">
        <v>4784.7930731197112</v>
      </c>
      <c r="E195" s="365">
        <v>12845.040249077625</v>
      </c>
      <c r="F195" s="365"/>
      <c r="G195" s="365"/>
      <c r="H195" s="365"/>
      <c r="I195" s="365"/>
      <c r="J195" s="365"/>
      <c r="K195" s="73"/>
    </row>
    <row r="196" spans="1:12" s="469" customFormat="1" ht="12.5">
      <c r="C196" s="252">
        <f t="shared" si="57"/>
        <v>2020</v>
      </c>
      <c r="D196" s="365">
        <v>4934.8618056909372</v>
      </c>
      <c r="E196" s="365"/>
      <c r="F196" s="365"/>
      <c r="G196" s="365"/>
      <c r="H196" s="365"/>
      <c r="I196" s="365"/>
      <c r="J196" s="365"/>
      <c r="K196" s="73"/>
    </row>
    <row r="197" spans="1:12" s="469" customFormat="1" ht="12.5">
      <c r="D197" s="73"/>
      <c r="F197" s="73"/>
      <c r="G197" s="73"/>
      <c r="H197" s="73"/>
      <c r="I197" s="73"/>
      <c r="J197" s="73"/>
      <c r="K197" s="73"/>
    </row>
    <row r="198" spans="1:12" s="469" customFormat="1" ht="12.5">
      <c r="A198" s="470"/>
      <c r="B198" s="470" t="s">
        <v>290</v>
      </c>
      <c r="C198" s="470"/>
      <c r="D198" s="470"/>
      <c r="E198" s="470"/>
      <c r="F198" s="470"/>
      <c r="G198" s="470"/>
      <c r="H198" s="470"/>
      <c r="I198" s="470"/>
      <c r="J198" s="470"/>
      <c r="K198" s="470"/>
      <c r="L198" s="470"/>
    </row>
    <row r="199" spans="1:12" s="469" customFormat="1" ht="12.5">
      <c r="B199" s="469" t="s">
        <v>322</v>
      </c>
      <c r="C199" s="470"/>
      <c r="D199" s="470"/>
      <c r="E199" s="470"/>
      <c r="F199" s="470"/>
      <c r="G199" s="470"/>
      <c r="H199" s="470"/>
      <c r="I199" s="470"/>
      <c r="J199" s="470"/>
      <c r="K199" s="470"/>
      <c r="L199" s="470"/>
    </row>
    <row r="200" spans="1:12" s="469" customFormat="1" ht="12.5"/>
    <row r="201" spans="1:12" s="469" customFormat="1" ht="12.5">
      <c r="C201" s="252" t="s">
        <v>203</v>
      </c>
      <c r="D201" s="513" t="s">
        <v>308</v>
      </c>
      <c r="E201" s="513"/>
      <c r="F201" s="513"/>
      <c r="G201" s="513"/>
      <c r="H201" s="513"/>
      <c r="I201" s="513"/>
      <c r="J201" s="513"/>
      <c r="K201" s="252"/>
    </row>
    <row r="202" spans="1:12" s="469" customFormat="1" ht="12.5">
      <c r="C202" s="26" t="s">
        <v>8</v>
      </c>
      <c r="D202" s="77">
        <f t="shared" ref="D202:J202" si="58">+D185</f>
        <v>12</v>
      </c>
      <c r="E202" s="77">
        <f t="shared" si="58"/>
        <v>24</v>
      </c>
      <c r="F202" s="77">
        <f t="shared" si="58"/>
        <v>36</v>
      </c>
      <c r="G202" s="77">
        <f t="shared" si="58"/>
        <v>48</v>
      </c>
      <c r="H202" s="77">
        <f t="shared" si="58"/>
        <v>60</v>
      </c>
      <c r="I202" s="77">
        <f t="shared" si="58"/>
        <v>72</v>
      </c>
      <c r="J202" s="77">
        <f t="shared" si="58"/>
        <v>84</v>
      </c>
      <c r="K202" s="77"/>
    </row>
    <row r="203" spans="1:12" s="469" customFormat="1" ht="4.5" customHeight="1"/>
    <row r="204" spans="1:12" s="469" customFormat="1" ht="12.5">
      <c r="C204" s="252">
        <f t="shared" ref="C204:C212" si="59">+C187</f>
        <v>2011</v>
      </c>
      <c r="D204" s="365"/>
      <c r="E204" s="365"/>
      <c r="F204" s="365"/>
      <c r="G204" s="365"/>
      <c r="H204" s="365"/>
      <c r="I204" s="365"/>
      <c r="J204" s="365">
        <v>-188827.03507785147</v>
      </c>
      <c r="K204" s="73"/>
    </row>
    <row r="205" spans="1:12" s="469" customFormat="1" ht="12.5">
      <c r="C205" s="252">
        <f t="shared" si="59"/>
        <v>2012</v>
      </c>
      <c r="D205" s="365"/>
      <c r="E205" s="365"/>
      <c r="F205" s="365"/>
      <c r="G205" s="365"/>
      <c r="H205" s="365"/>
      <c r="I205" s="365">
        <v>-183117.65681500698</v>
      </c>
      <c r="J205" s="365">
        <v>-105751.9120965344</v>
      </c>
      <c r="K205" s="73"/>
    </row>
    <row r="206" spans="1:12" s="469" customFormat="1" ht="12.5">
      <c r="C206" s="252">
        <f t="shared" si="59"/>
        <v>2013</v>
      </c>
      <c r="D206" s="365"/>
      <c r="E206" s="365"/>
      <c r="F206" s="365"/>
      <c r="G206" s="365"/>
      <c r="H206" s="365">
        <v>-170095.13362964467</v>
      </c>
      <c r="I206" s="365">
        <v>-94044.321407603522</v>
      </c>
      <c r="J206" s="365">
        <v>-22273.414976120966</v>
      </c>
      <c r="K206" s="73"/>
    </row>
    <row r="207" spans="1:12" s="469" customFormat="1" ht="12.5">
      <c r="C207" s="252">
        <f t="shared" si="59"/>
        <v>2014</v>
      </c>
      <c r="D207" s="365"/>
      <c r="E207" s="365"/>
      <c r="F207" s="365"/>
      <c r="G207" s="365">
        <v>-171844.62693397151</v>
      </c>
      <c r="H207" s="365">
        <v>-94773.757523663022</v>
      </c>
      <c r="I207" s="365">
        <v>-34797.934287691241</v>
      </c>
      <c r="J207" s="365"/>
      <c r="K207" s="73"/>
    </row>
    <row r="208" spans="1:12" s="469" customFormat="1" ht="12.5">
      <c r="C208" s="252">
        <f t="shared" si="59"/>
        <v>2015</v>
      </c>
      <c r="D208" s="365"/>
      <c r="E208" s="365"/>
      <c r="F208" s="365">
        <v>-85990.25020958524</v>
      </c>
      <c r="G208" s="365">
        <v>-79340.481049841474</v>
      </c>
      <c r="H208" s="365">
        <v>-20676.194450104853</v>
      </c>
      <c r="I208" s="365"/>
      <c r="J208" s="365"/>
      <c r="K208" s="73"/>
    </row>
    <row r="209" spans="1:11" s="469" customFormat="1" ht="12.5">
      <c r="C209" s="252">
        <f t="shared" si="59"/>
        <v>2016</v>
      </c>
      <c r="D209" s="365"/>
      <c r="E209" s="365">
        <v>-16474.366161482463</v>
      </c>
      <c r="F209" s="365">
        <v>-11505.421900244106</v>
      </c>
      <c r="G209" s="365">
        <v>-2696.9119533913045</v>
      </c>
      <c r="H209" s="365"/>
      <c r="I209" s="365"/>
      <c r="J209" s="365"/>
      <c r="K209" s="73"/>
    </row>
    <row r="210" spans="1:11" s="469" customFormat="1" ht="12.5">
      <c r="C210" s="252">
        <f t="shared" si="59"/>
        <v>2017</v>
      </c>
      <c r="D210" s="365">
        <v>2607.4486953061296</v>
      </c>
      <c r="E210" s="365">
        <v>29795.22834973409</v>
      </c>
      <c r="F210" s="365">
        <v>50267.168770628807</v>
      </c>
      <c r="G210" s="365"/>
      <c r="H210" s="365"/>
      <c r="I210" s="365"/>
      <c r="J210" s="365"/>
      <c r="K210" s="73"/>
    </row>
    <row r="211" spans="1:11" s="469" customFormat="1" ht="12.5">
      <c r="C211" s="252">
        <f t="shared" si="59"/>
        <v>2018</v>
      </c>
      <c r="D211" s="365">
        <v>6584.5339263105598</v>
      </c>
      <c r="E211" s="365">
        <v>33672.419040667941</v>
      </c>
      <c r="F211" s="365"/>
      <c r="G211" s="365"/>
      <c r="H211" s="365"/>
      <c r="I211" s="365"/>
      <c r="J211" s="365"/>
      <c r="K211" s="73"/>
    </row>
    <row r="212" spans="1:11" s="469" customFormat="1" ht="12.5">
      <c r="C212" s="252">
        <f t="shared" si="59"/>
        <v>2019</v>
      </c>
      <c r="D212" s="365">
        <v>6923.5955768042213</v>
      </c>
      <c r="E212" s="365"/>
      <c r="F212" s="365"/>
      <c r="G212" s="365"/>
      <c r="H212" s="365"/>
      <c r="I212" s="365"/>
      <c r="J212" s="365"/>
      <c r="K212" s="73"/>
    </row>
    <row r="213" spans="1:11" s="469" customFormat="1" ht="12.5">
      <c r="C213" s="252"/>
      <c r="D213" s="73"/>
      <c r="F213" s="73"/>
      <c r="G213" s="73"/>
      <c r="H213" s="73"/>
      <c r="I213" s="73"/>
      <c r="J213" s="73"/>
      <c r="K213" s="73"/>
    </row>
    <row r="214" spans="1:11" s="469" customFormat="1" ht="12.5">
      <c r="A214" s="470"/>
      <c r="B214" s="470" t="s">
        <v>323</v>
      </c>
      <c r="C214" s="470"/>
      <c r="D214" s="470"/>
      <c r="E214" s="470"/>
      <c r="F214" s="470"/>
      <c r="G214" s="470"/>
      <c r="H214" s="470"/>
      <c r="I214" s="470"/>
      <c r="J214" s="470"/>
      <c r="K214" s="470"/>
    </row>
    <row r="215" spans="1:11" s="469" customFormat="1" ht="12.5"/>
    <row r="216" spans="1:11" s="469" customFormat="1" ht="12.5">
      <c r="C216" s="252" t="s">
        <v>203</v>
      </c>
      <c r="D216" s="513" t="s">
        <v>308</v>
      </c>
      <c r="E216" s="513"/>
      <c r="F216" s="513"/>
      <c r="G216" s="513"/>
      <c r="H216" s="513"/>
      <c r="I216" s="513"/>
      <c r="J216" s="513"/>
      <c r="K216" s="252"/>
    </row>
    <row r="217" spans="1:11" s="469" customFormat="1" ht="12.5">
      <c r="C217" s="26" t="s">
        <v>8</v>
      </c>
      <c r="D217" s="77">
        <f t="shared" ref="D217:J217" si="60">+D185</f>
        <v>12</v>
      </c>
      <c r="E217" s="77">
        <f t="shared" si="60"/>
        <v>24</v>
      </c>
      <c r="F217" s="77">
        <f t="shared" si="60"/>
        <v>36</v>
      </c>
      <c r="G217" s="77">
        <f t="shared" si="60"/>
        <v>48</v>
      </c>
      <c r="H217" s="77">
        <f t="shared" si="60"/>
        <v>60</v>
      </c>
      <c r="I217" s="77">
        <f t="shared" si="60"/>
        <v>72</v>
      </c>
      <c r="J217" s="77">
        <f t="shared" si="60"/>
        <v>84</v>
      </c>
      <c r="K217" s="77"/>
    </row>
    <row r="218" spans="1:11" s="469" customFormat="1" ht="4.5" customHeight="1"/>
    <row r="219" spans="1:11" s="469" customFormat="1" ht="12.5">
      <c r="C219" s="252">
        <f t="shared" ref="C219:C228" si="61">+C187</f>
        <v>2011</v>
      </c>
      <c r="D219" s="365"/>
      <c r="E219" s="365"/>
      <c r="F219" s="365"/>
      <c r="G219" s="365"/>
      <c r="H219" s="365"/>
      <c r="I219" s="365"/>
      <c r="J219" s="365">
        <v>462952.40680107789</v>
      </c>
      <c r="K219" s="73"/>
    </row>
    <row r="220" spans="1:11" s="469" customFormat="1" ht="12.5">
      <c r="C220" s="252">
        <f t="shared" si="61"/>
        <v>2012</v>
      </c>
      <c r="D220" s="365"/>
      <c r="E220" s="365"/>
      <c r="F220" s="365"/>
      <c r="G220" s="365"/>
      <c r="H220" s="365"/>
      <c r="I220" s="365">
        <v>512760.06762292038</v>
      </c>
      <c r="J220" s="365">
        <v>466884.18863730691</v>
      </c>
      <c r="K220" s="73"/>
    </row>
    <row r="221" spans="1:11" s="469" customFormat="1" ht="12.5">
      <c r="C221" s="252">
        <f t="shared" si="61"/>
        <v>2013</v>
      </c>
      <c r="D221" s="365"/>
      <c r="E221" s="365"/>
      <c r="F221" s="365"/>
      <c r="G221" s="365"/>
      <c r="H221" s="365">
        <v>570817.92594388628</v>
      </c>
      <c r="I221" s="365">
        <v>494342.15689037094</v>
      </c>
      <c r="J221" s="365">
        <v>447294.82102387951</v>
      </c>
      <c r="K221" s="73"/>
    </row>
    <row r="222" spans="1:11" s="469" customFormat="1" ht="12.5">
      <c r="C222" s="252">
        <f t="shared" si="61"/>
        <v>2014</v>
      </c>
      <c r="D222" s="365"/>
      <c r="E222" s="365"/>
      <c r="F222" s="365"/>
      <c r="G222" s="365">
        <v>671270.33700325666</v>
      </c>
      <c r="H222" s="365">
        <v>566524.93751351046</v>
      </c>
      <c r="I222" s="365">
        <v>504031.50771230878</v>
      </c>
      <c r="J222" s="365">
        <v>447519.52100000001</v>
      </c>
      <c r="K222" s="73"/>
    </row>
    <row r="223" spans="1:11" s="469" customFormat="1" ht="12.5">
      <c r="C223" s="252">
        <f t="shared" si="61"/>
        <v>2015</v>
      </c>
      <c r="D223" s="365"/>
      <c r="E223" s="365"/>
      <c r="F223" s="365">
        <v>819487.16923678573</v>
      </c>
      <c r="G223" s="365">
        <v>704500.13858523814</v>
      </c>
      <c r="H223" s="365">
        <v>600912.90854989563</v>
      </c>
      <c r="I223" s="365">
        <v>514954.17300000001</v>
      </c>
      <c r="J223" s="365"/>
      <c r="K223" s="73"/>
    </row>
    <row r="224" spans="1:11" s="469" customFormat="1" ht="12.5">
      <c r="C224" s="252">
        <f t="shared" si="61"/>
        <v>2016</v>
      </c>
      <c r="D224" s="365"/>
      <c r="E224" s="365">
        <v>813284.54283851758</v>
      </c>
      <c r="F224" s="365">
        <v>854531.67109975591</v>
      </c>
      <c r="G224" s="365">
        <v>739671.1390466087</v>
      </c>
      <c r="H224" s="365">
        <v>617835.16899999999</v>
      </c>
      <c r="I224" s="365"/>
      <c r="J224" s="365"/>
      <c r="K224" s="73"/>
    </row>
    <row r="225" spans="1:12" s="469" customFormat="1" ht="12.5">
      <c r="C225" s="252">
        <f t="shared" si="61"/>
        <v>2017</v>
      </c>
      <c r="D225" s="365">
        <v>403837.16169530613</v>
      </c>
      <c r="E225" s="365">
        <v>854888.63634973415</v>
      </c>
      <c r="F225" s="365">
        <v>896685.51277062879</v>
      </c>
      <c r="G225" s="365">
        <v>739729.24600000004</v>
      </c>
      <c r="H225" s="365"/>
      <c r="I225" s="365"/>
      <c r="J225" s="365"/>
      <c r="K225" s="73"/>
    </row>
    <row r="226" spans="1:12" s="469" customFormat="1" ht="12.5">
      <c r="C226" s="252">
        <f t="shared" si="61"/>
        <v>2018</v>
      </c>
      <c r="D226" s="365">
        <v>427474.47092631052</v>
      </c>
      <c r="E226" s="365">
        <v>910069.29104066791</v>
      </c>
      <c r="F226" s="365">
        <v>904571.19</v>
      </c>
      <c r="G226" s="365"/>
      <c r="H226" s="365"/>
      <c r="I226" s="365"/>
      <c r="J226" s="365"/>
      <c r="K226" s="73"/>
    </row>
    <row r="227" spans="1:12" s="469" customFormat="1" ht="12.5">
      <c r="C227" s="252">
        <f t="shared" si="61"/>
        <v>2019</v>
      </c>
      <c r="D227" s="365">
        <v>409496.94557680422</v>
      </c>
      <c r="E227" s="365">
        <v>880822.94499999995</v>
      </c>
      <c r="F227" s="365"/>
      <c r="G227" s="365"/>
      <c r="H227" s="365"/>
      <c r="I227" s="365"/>
      <c r="J227" s="365"/>
      <c r="K227" s="73"/>
    </row>
    <row r="228" spans="1:12" s="469" customFormat="1" ht="12.5">
      <c r="C228" s="252">
        <f t="shared" si="61"/>
        <v>2020</v>
      </c>
      <c r="D228" s="365">
        <v>369576.73548999999</v>
      </c>
      <c r="E228" s="365"/>
      <c r="F228" s="365"/>
      <c r="G228" s="365"/>
      <c r="H228" s="365"/>
      <c r="I228" s="365"/>
      <c r="J228" s="365"/>
      <c r="K228" s="73"/>
    </row>
    <row r="229" spans="1:12" s="469" customFormat="1" ht="12.5">
      <c r="C229" s="252"/>
      <c r="D229" s="73"/>
      <c r="F229" s="73"/>
      <c r="G229" s="73"/>
      <c r="H229" s="73"/>
      <c r="I229" s="73"/>
      <c r="J229" s="73"/>
      <c r="K229" s="73"/>
    </row>
    <row r="230" spans="1:12" s="469" customFormat="1" ht="64.5" customHeight="1">
      <c r="A230" s="143" t="s">
        <v>41</v>
      </c>
      <c r="B230" s="514" t="s">
        <v>291</v>
      </c>
      <c r="C230" s="514"/>
      <c r="D230" s="514"/>
      <c r="E230" s="514"/>
      <c r="F230" s="514"/>
      <c r="G230" s="514"/>
      <c r="H230" s="514"/>
      <c r="I230" s="514"/>
      <c r="J230" s="514"/>
      <c r="K230" s="514"/>
      <c r="L230" s="473"/>
    </row>
    <row r="231" spans="1:12" s="469" customFormat="1" ht="38.25" customHeight="1">
      <c r="A231" s="143" t="s">
        <v>76</v>
      </c>
      <c r="B231" s="514" t="s">
        <v>292</v>
      </c>
      <c r="C231" s="514"/>
      <c r="D231" s="514"/>
      <c r="E231" s="514"/>
      <c r="F231" s="514"/>
      <c r="G231" s="514"/>
      <c r="H231" s="514"/>
      <c r="I231" s="514"/>
      <c r="J231" s="514"/>
      <c r="K231" s="514"/>
      <c r="L231" s="473"/>
    </row>
    <row r="232" spans="1:12" s="469" customFormat="1" ht="39" customHeight="1">
      <c r="A232" s="143" t="s">
        <v>170</v>
      </c>
      <c r="B232" s="514" t="s">
        <v>293</v>
      </c>
      <c r="C232" s="514"/>
      <c r="D232" s="514"/>
      <c r="E232" s="514"/>
      <c r="F232" s="514"/>
      <c r="G232" s="514"/>
      <c r="H232" s="514"/>
      <c r="I232" s="514"/>
      <c r="J232" s="514"/>
      <c r="K232" s="514"/>
      <c r="L232" s="473"/>
    </row>
    <row r="233" spans="1:12" s="469" customFormat="1" ht="12.5"/>
    <row r="234" spans="1:12" s="469" customFormat="1" ht="12.5">
      <c r="B234" s="469" t="s">
        <v>522</v>
      </c>
    </row>
    <row r="235" spans="1:12" ht="45" customHeight="1">
      <c r="A235" s="469"/>
      <c r="B235" s="469"/>
      <c r="C235" s="252"/>
      <c r="I235" s="469"/>
      <c r="L235" s="143" t="s">
        <v>387</v>
      </c>
    </row>
    <row r="236" spans="1:12" s="469" customFormat="1" ht="13">
      <c r="A236" s="245" t="s">
        <v>35</v>
      </c>
      <c r="B236" s="245"/>
      <c r="C236" s="245"/>
      <c r="D236" s="245"/>
      <c r="E236" s="245"/>
      <c r="F236" s="245"/>
      <c r="G236" s="245"/>
      <c r="H236" s="245"/>
      <c r="I236" s="245"/>
      <c r="J236" s="245"/>
      <c r="K236" s="245"/>
      <c r="L236" s="25"/>
    </row>
    <row r="237" spans="1:12" s="469" customFormat="1" ht="13">
      <c r="A237" s="245" t="s">
        <v>261</v>
      </c>
      <c r="B237" s="245"/>
      <c r="C237" s="245"/>
      <c r="D237" s="245"/>
      <c r="E237" s="245"/>
      <c r="F237" s="245"/>
      <c r="G237" s="245"/>
      <c r="H237" s="245"/>
      <c r="I237" s="245"/>
      <c r="J237" s="245"/>
      <c r="K237" s="245"/>
      <c r="L237" s="25"/>
    </row>
    <row r="238" spans="1:12" s="469" customFormat="1" ht="13">
      <c r="A238" s="245" t="s">
        <v>262</v>
      </c>
      <c r="B238" s="245"/>
      <c r="C238" s="245"/>
      <c r="D238" s="245"/>
      <c r="E238" s="245"/>
      <c r="F238" s="245"/>
      <c r="G238" s="245"/>
      <c r="H238" s="245"/>
      <c r="I238" s="245"/>
      <c r="J238" s="245"/>
      <c r="K238" s="245"/>
      <c r="L238" s="25"/>
    </row>
    <row r="239" spans="1:12" s="469" customFormat="1" ht="13">
      <c r="A239" s="299"/>
      <c r="B239" s="299"/>
      <c r="C239" s="299"/>
      <c r="D239" s="299"/>
      <c r="E239" s="299"/>
      <c r="F239" s="299"/>
      <c r="G239" s="299"/>
      <c r="H239" s="299"/>
      <c r="I239" s="299"/>
    </row>
    <row r="240" spans="1:12" s="469" customFormat="1" ht="13">
      <c r="A240" s="299"/>
      <c r="B240" s="299"/>
      <c r="C240" s="299"/>
      <c r="D240" s="299"/>
      <c r="E240" s="299"/>
      <c r="F240" s="299"/>
      <c r="G240" s="299"/>
      <c r="H240" s="299"/>
      <c r="I240" s="299"/>
    </row>
    <row r="241" spans="1:11" s="469" customFormat="1" ht="12.5">
      <c r="A241" s="470"/>
      <c r="B241" s="470" t="s">
        <v>294</v>
      </c>
      <c r="C241" s="470"/>
      <c r="D241" s="470"/>
      <c r="E241" s="470"/>
      <c r="F241" s="470"/>
      <c r="G241" s="470"/>
      <c r="H241" s="470"/>
      <c r="I241" s="470"/>
      <c r="J241" s="470"/>
      <c r="K241" s="470"/>
    </row>
    <row r="242" spans="1:11" s="469" customFormat="1" ht="12.5"/>
    <row r="243" spans="1:11" s="469" customFormat="1" ht="12.5">
      <c r="C243" s="252" t="s">
        <v>203</v>
      </c>
      <c r="D243" s="513" t="s">
        <v>308</v>
      </c>
      <c r="E243" s="513"/>
      <c r="F243" s="513"/>
      <c r="G243" s="513"/>
      <c r="H243" s="513"/>
      <c r="I243" s="513"/>
      <c r="J243" s="513"/>
      <c r="K243" s="252"/>
    </row>
    <row r="244" spans="1:11" s="469" customFormat="1" ht="12.5">
      <c r="C244" s="26" t="s">
        <v>8</v>
      </c>
      <c r="D244" s="77">
        <f t="shared" ref="D244:J244" si="62">D217</f>
        <v>12</v>
      </c>
      <c r="E244" s="77">
        <f t="shared" si="62"/>
        <v>24</v>
      </c>
      <c r="F244" s="77">
        <f t="shared" si="62"/>
        <v>36</v>
      </c>
      <c r="G244" s="77">
        <f t="shared" si="62"/>
        <v>48</v>
      </c>
      <c r="H244" s="77">
        <f t="shared" si="62"/>
        <v>60</v>
      </c>
      <c r="I244" s="77">
        <f t="shared" si="62"/>
        <v>72</v>
      </c>
      <c r="J244" s="77">
        <f t="shared" si="62"/>
        <v>84</v>
      </c>
      <c r="K244" s="77"/>
    </row>
    <row r="245" spans="1:11" s="469" customFormat="1" ht="4.5" customHeight="1"/>
    <row r="246" spans="1:11" s="469" customFormat="1" ht="12.5">
      <c r="C246" s="252">
        <f t="shared" ref="C246:C255" si="63">C219</f>
        <v>2011</v>
      </c>
      <c r="D246" s="486"/>
      <c r="E246" s="486" t="s">
        <v>34</v>
      </c>
      <c r="F246" s="486" t="s">
        <v>34</v>
      </c>
      <c r="G246" s="486"/>
      <c r="H246" s="486"/>
      <c r="I246" s="486"/>
      <c r="J246" s="365">
        <v>223575.81478338272</v>
      </c>
      <c r="K246" s="73"/>
    </row>
    <row r="247" spans="1:11" s="469" customFormat="1" ht="12.5">
      <c r="C247" s="252">
        <f t="shared" si="63"/>
        <v>2012</v>
      </c>
      <c r="D247" s="486"/>
      <c r="E247" s="486" t="s">
        <v>34</v>
      </c>
      <c r="F247" s="486"/>
      <c r="G247" s="486"/>
      <c r="H247" s="486"/>
      <c r="I247" s="365">
        <v>229460.06210379497</v>
      </c>
      <c r="J247" s="365">
        <v>231645.87901080857</v>
      </c>
      <c r="K247" s="73"/>
    </row>
    <row r="248" spans="1:11" s="469" customFormat="1" ht="12.5">
      <c r="C248" s="252">
        <f t="shared" si="63"/>
        <v>2013</v>
      </c>
      <c r="D248" s="486"/>
      <c r="E248" s="486"/>
      <c r="F248" s="486"/>
      <c r="G248" s="486"/>
      <c r="H248" s="365">
        <v>231693.6295626564</v>
      </c>
      <c r="I248" s="365">
        <v>234588.06097895966</v>
      </c>
      <c r="J248" s="365">
        <v>237061.83</v>
      </c>
      <c r="K248" s="73"/>
    </row>
    <row r="249" spans="1:11" s="469" customFormat="1" ht="12.5">
      <c r="C249" s="252">
        <f t="shared" si="63"/>
        <v>2014</v>
      </c>
      <c r="D249" s="486"/>
      <c r="E249" s="486"/>
      <c r="F249" s="486"/>
      <c r="G249" s="365">
        <v>247412.54192707068</v>
      </c>
      <c r="H249" s="365">
        <v>251500.19527829223</v>
      </c>
      <c r="I249" s="365">
        <v>253886.4</v>
      </c>
      <c r="J249" s="365">
        <v>256111.927</v>
      </c>
      <c r="K249" s="73"/>
    </row>
    <row r="250" spans="1:11" s="469" customFormat="1" ht="12.5">
      <c r="C250" s="252">
        <f t="shared" si="63"/>
        <v>2015</v>
      </c>
      <c r="D250" s="486"/>
      <c r="E250" s="486"/>
      <c r="F250" s="365">
        <v>250098.75739159502</v>
      </c>
      <c r="G250" s="365">
        <v>256150.24375441097</v>
      </c>
      <c r="H250" s="365">
        <v>261569.77600000001</v>
      </c>
      <c r="I250" s="365">
        <v>264828.70299999998</v>
      </c>
      <c r="J250" s="486"/>
      <c r="K250" s="156"/>
    </row>
    <row r="251" spans="1:11" s="469" customFormat="1" ht="12.5">
      <c r="C251" s="252">
        <f t="shared" si="63"/>
        <v>2016</v>
      </c>
      <c r="D251" s="486"/>
      <c r="E251" s="365">
        <v>255275.16800000001</v>
      </c>
      <c r="F251" s="365">
        <v>266631.402</v>
      </c>
      <c r="G251" s="365">
        <v>274526.53999999998</v>
      </c>
      <c r="H251" s="365">
        <v>279553.48200000002</v>
      </c>
      <c r="I251" s="486"/>
      <c r="J251" s="486"/>
      <c r="K251" s="156"/>
    </row>
    <row r="252" spans="1:11" s="469" customFormat="1" ht="12.5">
      <c r="C252" s="252">
        <f t="shared" si="63"/>
        <v>2017</v>
      </c>
      <c r="D252" s="365">
        <v>187253.774</v>
      </c>
      <c r="E252" s="365">
        <v>274301.11099999998</v>
      </c>
      <c r="F252" s="365">
        <v>285929.842</v>
      </c>
      <c r="G252" s="365">
        <v>292956.902</v>
      </c>
      <c r="H252" s="486"/>
      <c r="I252" s="486"/>
      <c r="J252" s="486"/>
      <c r="K252" s="156"/>
    </row>
    <row r="253" spans="1:11" s="469" customFormat="1" ht="12.5">
      <c r="C253" s="252">
        <f t="shared" si="63"/>
        <v>2018</v>
      </c>
      <c r="D253" s="365">
        <v>200859.89</v>
      </c>
      <c r="E253" s="365">
        <v>290213.82199999999</v>
      </c>
      <c r="F253" s="365">
        <v>305088.929</v>
      </c>
      <c r="G253" s="486"/>
      <c r="H253" s="486"/>
      <c r="I253" s="486"/>
      <c r="J253" s="486"/>
      <c r="K253" s="156"/>
    </row>
    <row r="254" spans="1:11" s="469" customFormat="1" ht="12.5">
      <c r="C254" s="252">
        <f t="shared" si="63"/>
        <v>2019</v>
      </c>
      <c r="D254" s="365">
        <v>197949.84400000001</v>
      </c>
      <c r="E254" s="365">
        <v>292700.83100000001</v>
      </c>
      <c r="F254" s="486"/>
      <c r="G254" s="486"/>
      <c r="H254" s="486"/>
      <c r="I254" s="486"/>
      <c r="J254" s="486"/>
      <c r="K254" s="156"/>
    </row>
    <row r="255" spans="1:11" s="469" customFormat="1" ht="12.5">
      <c r="C255" s="252">
        <f t="shared" si="63"/>
        <v>2020</v>
      </c>
      <c r="D255" s="365">
        <v>157442.73194999999</v>
      </c>
      <c r="E255" s="486"/>
      <c r="F255" s="486"/>
      <c r="G255" s="486"/>
      <c r="H255" s="486"/>
      <c r="I255" s="486"/>
      <c r="J255" s="486"/>
      <c r="K255" s="156"/>
    </row>
    <row r="256" spans="1:11" s="469" customFormat="1" ht="12.5">
      <c r="D256" s="156"/>
      <c r="F256" s="156"/>
      <c r="G256" s="156"/>
      <c r="H256" s="156"/>
      <c r="I256" s="156"/>
      <c r="J256" s="156"/>
      <c r="K256" s="156"/>
    </row>
    <row r="257" spans="1:11" s="469" customFormat="1" ht="12.5">
      <c r="A257" s="470"/>
      <c r="B257" s="470" t="s">
        <v>324</v>
      </c>
      <c r="C257" s="470"/>
      <c r="D257" s="470"/>
      <c r="E257" s="470"/>
      <c r="F257" s="470"/>
      <c r="G257" s="470"/>
      <c r="H257" s="470"/>
      <c r="I257" s="470"/>
      <c r="J257" s="470"/>
      <c r="K257" s="470"/>
    </row>
    <row r="258" spans="1:11" s="469" customFormat="1" ht="12.5"/>
    <row r="259" spans="1:11" s="469" customFormat="1" ht="12.5">
      <c r="C259" s="252" t="s">
        <v>203</v>
      </c>
      <c r="D259" s="513" t="s">
        <v>308</v>
      </c>
      <c r="E259" s="513"/>
      <c r="F259" s="513"/>
      <c r="G259" s="513"/>
      <c r="H259" s="513"/>
      <c r="I259" s="513"/>
      <c r="J259" s="513"/>
      <c r="K259" s="252"/>
    </row>
    <row r="260" spans="1:11" s="469" customFormat="1" ht="12.5">
      <c r="C260" s="26" t="s">
        <v>8</v>
      </c>
      <c r="D260" s="77">
        <f t="shared" ref="D260:J260" si="64">+D244</f>
        <v>12</v>
      </c>
      <c r="E260" s="77">
        <f t="shared" si="64"/>
        <v>24</v>
      </c>
      <c r="F260" s="77">
        <f t="shared" si="64"/>
        <v>36</v>
      </c>
      <c r="G260" s="77">
        <f t="shared" si="64"/>
        <v>48</v>
      </c>
      <c r="H260" s="77">
        <f t="shared" si="64"/>
        <v>60</v>
      </c>
      <c r="I260" s="77">
        <f t="shared" si="64"/>
        <v>72</v>
      </c>
      <c r="J260" s="77">
        <f t="shared" si="64"/>
        <v>84</v>
      </c>
      <c r="K260" s="77"/>
    </row>
    <row r="261" spans="1:11" s="469" customFormat="1" ht="4.5" customHeight="1"/>
    <row r="262" spans="1:11" s="469" customFormat="1" ht="12.5">
      <c r="C262" s="252">
        <f t="shared" ref="C262:C271" si="65">+C246</f>
        <v>2011</v>
      </c>
      <c r="D262" s="73"/>
      <c r="E262" s="73"/>
      <c r="F262" s="73"/>
      <c r="G262" s="73"/>
      <c r="H262" s="365"/>
      <c r="I262" s="365"/>
      <c r="J262" s="365">
        <v>3681054.0895083351</v>
      </c>
      <c r="K262" s="73"/>
    </row>
    <row r="263" spans="1:11" s="469" customFormat="1" ht="12.5">
      <c r="C263" s="252">
        <f t="shared" si="65"/>
        <v>2012</v>
      </c>
      <c r="D263" s="73"/>
      <c r="E263" s="73"/>
      <c r="F263" s="73"/>
      <c r="G263" s="73"/>
      <c r="H263" s="365"/>
      <c r="I263" s="365">
        <v>3173283.628446565</v>
      </c>
      <c r="J263" s="365">
        <v>3320793.2998009999</v>
      </c>
      <c r="K263" s="73"/>
    </row>
    <row r="264" spans="1:11" s="469" customFormat="1" ht="12.5">
      <c r="C264" s="252">
        <f t="shared" si="65"/>
        <v>2013</v>
      </c>
      <c r="D264" s="73"/>
      <c r="E264" s="73"/>
      <c r="F264" s="73"/>
      <c r="G264" s="73"/>
      <c r="H264" s="365">
        <v>2945672.6455469532</v>
      </c>
      <c r="I264" s="365">
        <v>3121679.6149007045</v>
      </c>
      <c r="J264" s="365">
        <v>3249661.1181974872</v>
      </c>
      <c r="K264" s="73"/>
    </row>
    <row r="265" spans="1:11" s="469" customFormat="1" ht="12.5">
      <c r="C265" s="252">
        <f t="shared" si="65"/>
        <v>2014</v>
      </c>
      <c r="D265" s="73"/>
      <c r="E265" s="73"/>
      <c r="F265" s="73"/>
      <c r="G265" s="215">
        <f t="shared" ref="G265:I265" si="66">G249+G222+G148</f>
        <v>2661144.1416693204</v>
      </c>
      <c r="H265" s="215">
        <f t="shared" si="66"/>
        <v>2939920.913138466</v>
      </c>
      <c r="I265" s="215">
        <f t="shared" si="66"/>
        <v>3129915.6585815619</v>
      </c>
      <c r="J265" s="215">
        <f>J249+J222+J148</f>
        <v>3251982.5379999992</v>
      </c>
      <c r="K265" s="73"/>
    </row>
    <row r="266" spans="1:11" s="469" customFormat="1" ht="12.5">
      <c r="C266" s="252">
        <f t="shared" si="65"/>
        <v>2015</v>
      </c>
      <c r="D266" s="73"/>
      <c r="E266" s="73"/>
      <c r="F266" s="215">
        <f t="shared" ref="F266:H266" si="67">F250+F223+F149</f>
        <v>2211061.9822744364</v>
      </c>
      <c r="G266" s="215">
        <f t="shared" si="67"/>
        <v>2681786.0213960232</v>
      </c>
      <c r="H266" s="215">
        <f t="shared" si="67"/>
        <v>2954586.5834383899</v>
      </c>
      <c r="I266" s="215">
        <f>I250+I223+I149</f>
        <v>3130130.2419999996</v>
      </c>
      <c r="J266" s="73"/>
      <c r="K266" s="73"/>
    </row>
    <row r="267" spans="1:11" s="469" customFormat="1" ht="12.5">
      <c r="C267" s="252">
        <f t="shared" si="65"/>
        <v>2016</v>
      </c>
      <c r="D267" s="73"/>
      <c r="E267" s="215">
        <f t="shared" ref="D267:E270" si="68">E251+E224+E150</f>
        <v>1582217.9351014253</v>
      </c>
      <c r="F267" s="215">
        <f t="shared" ref="F267:G267" si="69">F251+F224+F150</f>
        <v>2228930.0284680631</v>
      </c>
      <c r="G267" s="215">
        <f t="shared" si="69"/>
        <v>2663948.5619482165</v>
      </c>
      <c r="H267" s="215">
        <f>H251+H224+H150</f>
        <v>2926079.4960000003</v>
      </c>
      <c r="I267" s="73"/>
      <c r="J267" s="73"/>
      <c r="K267" s="73"/>
    </row>
    <row r="268" spans="1:11" s="469" customFormat="1" ht="12.5">
      <c r="C268" s="252">
        <f t="shared" si="65"/>
        <v>2017</v>
      </c>
      <c r="D268" s="215">
        <f t="shared" si="68"/>
        <v>690248.24677273352</v>
      </c>
      <c r="E268" s="215">
        <f t="shared" si="68"/>
        <v>1617987.6652466077</v>
      </c>
      <c r="F268" s="215">
        <f t="shared" ref="F268" si="70">F252+F225+F151</f>
        <v>2252467.0657978142</v>
      </c>
      <c r="G268" s="215">
        <f>G252+G225+G151</f>
        <v>2682982.8020000001</v>
      </c>
      <c r="H268" s="73"/>
      <c r="I268" s="73"/>
      <c r="J268" s="73"/>
      <c r="K268" s="73"/>
    </row>
    <row r="269" spans="1:11" s="469" customFormat="1" ht="12.5">
      <c r="C269" s="252">
        <f t="shared" si="65"/>
        <v>2018</v>
      </c>
      <c r="D269" s="215">
        <f t="shared" si="68"/>
        <v>732948.65935377707</v>
      </c>
      <c r="E269" s="215">
        <f t="shared" si="68"/>
        <v>1720056.9731460749</v>
      </c>
      <c r="F269" s="215">
        <f>F253+F226+F152</f>
        <v>2401345.861</v>
      </c>
      <c r="G269" s="73"/>
      <c r="H269" s="73"/>
      <c r="I269" s="73"/>
      <c r="J269" s="73"/>
      <c r="K269" s="73"/>
    </row>
    <row r="270" spans="1:11" s="469" customFormat="1" ht="12.5">
      <c r="C270" s="252">
        <f t="shared" si="65"/>
        <v>2019</v>
      </c>
      <c r="D270" s="215">
        <f t="shared" si="68"/>
        <v>729463.71335207962</v>
      </c>
      <c r="E270" s="215">
        <f>E254+E227+E153</f>
        <v>1713790.0430000001</v>
      </c>
      <c r="F270" s="73"/>
      <c r="G270" s="73"/>
      <c r="H270" s="73"/>
      <c r="I270" s="73"/>
      <c r="J270" s="73"/>
      <c r="K270" s="73"/>
    </row>
    <row r="271" spans="1:11" s="469" customFormat="1" ht="12.5">
      <c r="C271" s="252">
        <f t="shared" si="65"/>
        <v>2020</v>
      </c>
      <c r="D271" s="215">
        <f>D255+D228+D154</f>
        <v>618789.32394000003</v>
      </c>
      <c r="E271" s="73"/>
      <c r="F271" s="73"/>
      <c r="G271" s="73"/>
      <c r="H271" s="73"/>
      <c r="I271" s="73"/>
      <c r="J271" s="73"/>
      <c r="K271" s="73"/>
    </row>
    <row r="272" spans="1:11" s="469" customFormat="1" ht="12.5">
      <c r="D272" s="73"/>
      <c r="F272" s="73"/>
      <c r="G272" s="73"/>
    </row>
    <row r="273" spans="1:11" s="469" customFormat="1" ht="12.5">
      <c r="A273" s="470"/>
      <c r="B273" s="470" t="s">
        <v>295</v>
      </c>
      <c r="C273" s="470"/>
      <c r="D273" s="470"/>
      <c r="E273" s="470"/>
      <c r="F273" s="470"/>
      <c r="G273" s="470"/>
      <c r="H273" s="470"/>
      <c r="I273" s="470"/>
      <c r="J273" s="470"/>
      <c r="K273" s="470"/>
    </row>
    <row r="274" spans="1:11" s="469" customFormat="1" ht="12.5"/>
    <row r="275" spans="1:11" s="469" customFormat="1" ht="12.5">
      <c r="C275" s="252" t="s">
        <v>203</v>
      </c>
      <c r="D275" s="513" t="s">
        <v>308</v>
      </c>
      <c r="E275" s="513"/>
      <c r="F275" s="513"/>
      <c r="G275" s="513"/>
      <c r="H275" s="513"/>
      <c r="I275" s="513"/>
    </row>
    <row r="276" spans="1:11" s="469" customFormat="1" ht="12.5">
      <c r="C276" s="26" t="s">
        <v>8</v>
      </c>
      <c r="D276" s="77" t="str">
        <f t="shared" ref="D276:I276" si="71">+D260&amp;"-"&amp;E260</f>
        <v>12-24</v>
      </c>
      <c r="E276" s="77" t="str">
        <f t="shared" si="71"/>
        <v>24-36</v>
      </c>
      <c r="F276" s="77" t="str">
        <f t="shared" si="71"/>
        <v>36-48</v>
      </c>
      <c r="G276" s="77" t="str">
        <f t="shared" si="71"/>
        <v>48-60</v>
      </c>
      <c r="H276" s="77" t="str">
        <f t="shared" si="71"/>
        <v>60-72</v>
      </c>
      <c r="I276" s="77" t="str">
        <f t="shared" si="71"/>
        <v>72-84</v>
      </c>
    </row>
    <row r="277" spans="1:11" s="469" customFormat="1" ht="4.5" customHeight="1"/>
    <row r="278" spans="1:11" s="469" customFormat="1" ht="12.5">
      <c r="C278" s="252">
        <f t="shared" ref="C278:C285" si="72">+C247</f>
        <v>2012</v>
      </c>
      <c r="D278" s="144"/>
      <c r="E278" s="144"/>
      <c r="F278" s="144"/>
      <c r="G278" s="144"/>
      <c r="H278" s="144"/>
      <c r="I278" s="144">
        <f>J263/I263</f>
        <v>1.046484868239353</v>
      </c>
    </row>
    <row r="279" spans="1:11" s="469" customFormat="1" ht="12.5">
      <c r="C279" s="252">
        <f t="shared" si="72"/>
        <v>2013</v>
      </c>
      <c r="D279" s="144"/>
      <c r="E279" s="144"/>
      <c r="F279" s="144"/>
      <c r="G279" s="144"/>
      <c r="H279" s="144">
        <f>I264/H264</f>
        <v>1.0597510282141587</v>
      </c>
      <c r="I279" s="144">
        <f t="shared" ref="I279" si="73">J264/I264</f>
        <v>1.0409976420020457</v>
      </c>
    </row>
    <row r="280" spans="1:11" s="469" customFormat="1" ht="12.5">
      <c r="C280" s="252">
        <f t="shared" si="72"/>
        <v>2014</v>
      </c>
      <c r="D280" s="144"/>
      <c r="E280" s="144"/>
      <c r="F280" s="144"/>
      <c r="G280" s="144">
        <f>H265/G265</f>
        <v>1.1047582380465384</v>
      </c>
      <c r="H280" s="144">
        <f t="shared" ref="H280:I280" si="74">I265/H265</f>
        <v>1.0646258015288819</v>
      </c>
      <c r="I280" s="144">
        <f t="shared" si="74"/>
        <v>1.0390000539100011</v>
      </c>
    </row>
    <row r="281" spans="1:11" s="469" customFormat="1" ht="12.5">
      <c r="C281" s="252">
        <f t="shared" si="72"/>
        <v>2015</v>
      </c>
      <c r="D281" s="144"/>
      <c r="E281" s="144"/>
      <c r="F281" s="144">
        <f>G266/F266</f>
        <v>1.2128949992787497</v>
      </c>
      <c r="G281" s="144">
        <f t="shared" ref="G281:H281" si="75">H266/G266</f>
        <v>1.101723463343417</v>
      </c>
      <c r="H281" s="144">
        <f t="shared" si="75"/>
        <v>1.0594139496691688</v>
      </c>
      <c r="I281" s="144"/>
    </row>
    <row r="282" spans="1:11" s="469" customFormat="1" ht="12.5">
      <c r="C282" s="252">
        <f t="shared" si="72"/>
        <v>2016</v>
      </c>
      <c r="D282" s="144"/>
      <c r="E282" s="144">
        <f>F267/E267</f>
        <v>1.4087376833616676</v>
      </c>
      <c r="F282" s="144">
        <f t="shared" ref="F282:G282" si="76">G267/F267</f>
        <v>1.1951692192774397</v>
      </c>
      <c r="G282" s="144">
        <f t="shared" si="76"/>
        <v>1.0983993977196318</v>
      </c>
      <c r="H282" s="144"/>
      <c r="I282" s="144"/>
    </row>
    <row r="283" spans="1:11" s="469" customFormat="1" ht="12.5">
      <c r="C283" s="252">
        <f t="shared" si="72"/>
        <v>2017</v>
      </c>
      <c r="D283" s="144">
        <f>E268/D268</f>
        <v>2.3440663164470674</v>
      </c>
      <c r="E283" s="144">
        <f t="shared" ref="D283:E285" si="77">F268/E268</f>
        <v>1.3921410615046323</v>
      </c>
      <c r="F283" s="144">
        <f t="shared" ref="F283" si="78">G268/F268</f>
        <v>1.1911307573545806</v>
      </c>
      <c r="G283" s="144"/>
      <c r="H283" s="144"/>
      <c r="I283" s="144"/>
    </row>
    <row r="284" spans="1:11" s="469" customFormat="1" ht="12.5">
      <c r="C284" s="252">
        <f t="shared" si="72"/>
        <v>2018</v>
      </c>
      <c r="D284" s="144">
        <f t="shared" si="77"/>
        <v>2.3467632435027674</v>
      </c>
      <c r="E284" s="144">
        <f t="shared" si="77"/>
        <v>1.3960850707217052</v>
      </c>
      <c r="F284" s="144"/>
      <c r="G284" s="144"/>
      <c r="H284" s="144"/>
      <c r="I284" s="144"/>
    </row>
    <row r="285" spans="1:11" s="469" customFormat="1" ht="12.5">
      <c r="C285" s="252">
        <f t="shared" si="72"/>
        <v>2019</v>
      </c>
      <c r="D285" s="144">
        <f t="shared" si="77"/>
        <v>2.3493835424995706</v>
      </c>
      <c r="F285" s="144"/>
      <c r="G285" s="144"/>
      <c r="H285" s="144"/>
      <c r="I285" s="144"/>
    </row>
    <row r="286" spans="1:11" s="469" customFormat="1" ht="12.5">
      <c r="C286" s="252"/>
      <c r="D286" s="144"/>
    </row>
    <row r="287" spans="1:11" s="469" customFormat="1" ht="12.5">
      <c r="C287" s="469" t="s">
        <v>265</v>
      </c>
      <c r="D287" s="144">
        <f>D285</f>
        <v>2.3493835424995706</v>
      </c>
      <c r="E287" s="144">
        <f>E284</f>
        <v>1.3960850707217052</v>
      </c>
      <c r="F287" s="144">
        <f>F283</f>
        <v>1.1911307573545806</v>
      </c>
      <c r="G287" s="144">
        <f>G282</f>
        <v>1.0983993977196318</v>
      </c>
      <c r="H287" s="144">
        <f>H281</f>
        <v>1.0594139496691688</v>
      </c>
      <c r="I287" s="144">
        <f>I280</f>
        <v>1.0390000539100011</v>
      </c>
    </row>
    <row r="288" spans="1:11" s="469" customFormat="1" ht="12.5"/>
    <row r="289" spans="1:12" s="469" customFormat="1" ht="40" customHeight="1">
      <c r="A289" s="143" t="s">
        <v>174</v>
      </c>
      <c r="B289" s="514" t="s">
        <v>325</v>
      </c>
      <c r="C289" s="514"/>
      <c r="D289" s="514"/>
      <c r="E289" s="514"/>
      <c r="F289" s="514"/>
      <c r="G289" s="514"/>
      <c r="H289" s="514"/>
      <c r="I289" s="514"/>
      <c r="J289" s="514"/>
      <c r="K289" s="514"/>
    </row>
    <row r="290" spans="1:12" s="469" customFormat="1" ht="12.5"/>
    <row r="291" spans="1:12" s="469" customFormat="1" ht="12.5">
      <c r="B291" s="469" t="s">
        <v>522</v>
      </c>
    </row>
    <row r="292" spans="1:12" ht="45" customHeight="1">
      <c r="A292" s="469"/>
      <c r="B292" s="469"/>
      <c r="C292" s="469"/>
      <c r="D292" s="144"/>
      <c r="E292" s="144"/>
      <c r="F292" s="144"/>
      <c r="G292" s="144"/>
      <c r="H292" s="144"/>
      <c r="I292" s="469"/>
      <c r="L292" s="143" t="s">
        <v>388</v>
      </c>
    </row>
    <row r="293" spans="1:12" s="469" customFormat="1" ht="13">
      <c r="A293" s="245" t="s">
        <v>35</v>
      </c>
      <c r="B293" s="245"/>
      <c r="C293" s="245"/>
      <c r="D293" s="245"/>
      <c r="E293" s="245"/>
      <c r="F293" s="245"/>
      <c r="G293" s="245"/>
      <c r="H293" s="245"/>
      <c r="I293" s="245"/>
      <c r="J293" s="245"/>
      <c r="K293" s="245"/>
      <c r="L293" s="245"/>
    </row>
    <row r="294" spans="1:12" s="469" customFormat="1" ht="13">
      <c r="A294" s="245" t="s">
        <v>261</v>
      </c>
      <c r="B294" s="245"/>
      <c r="C294" s="245"/>
      <c r="D294" s="245"/>
      <c r="E294" s="245"/>
      <c r="F294" s="245"/>
      <c r="G294" s="245"/>
      <c r="H294" s="245"/>
      <c r="I294" s="245"/>
      <c r="J294" s="245"/>
      <c r="K294" s="245"/>
      <c r="L294" s="245"/>
    </row>
    <row r="295" spans="1:12" s="469" customFormat="1" ht="13">
      <c r="A295" s="245" t="s">
        <v>262</v>
      </c>
      <c r="B295" s="245"/>
      <c r="C295" s="245"/>
      <c r="D295" s="245"/>
      <c r="E295" s="245"/>
      <c r="F295" s="245"/>
      <c r="G295" s="245"/>
      <c r="H295" s="245"/>
      <c r="I295" s="245"/>
      <c r="J295" s="245"/>
      <c r="K295" s="245"/>
      <c r="L295" s="245"/>
    </row>
    <row r="296" spans="1:12" s="469" customFormat="1" ht="13">
      <c r="A296" s="299"/>
      <c r="B296" s="299"/>
      <c r="C296" s="299"/>
      <c r="D296" s="299"/>
      <c r="E296" s="299"/>
      <c r="F296" s="299"/>
      <c r="G296" s="299"/>
      <c r="H296" s="299"/>
      <c r="I296" s="299"/>
      <c r="J296" s="299"/>
      <c r="K296" s="299"/>
      <c r="L296" s="299"/>
    </row>
    <row r="297" spans="1:12" s="469" customFormat="1" ht="13">
      <c r="A297" s="299"/>
      <c r="B297" s="299"/>
      <c r="C297" s="299"/>
      <c r="D297" s="299"/>
      <c r="E297" s="299"/>
      <c r="F297" s="299"/>
      <c r="G297" s="299"/>
      <c r="H297" s="299"/>
      <c r="I297" s="299"/>
      <c r="J297" s="299"/>
      <c r="K297" s="299"/>
      <c r="L297" s="299"/>
    </row>
    <row r="298" spans="1:12" s="469" customFormat="1" ht="12.5">
      <c r="A298" s="470"/>
      <c r="B298" s="470" t="s">
        <v>326</v>
      </c>
      <c r="C298" s="470"/>
      <c r="D298" s="470"/>
      <c r="E298" s="470"/>
      <c r="F298" s="470"/>
      <c r="G298" s="470"/>
      <c r="H298" s="470"/>
      <c r="I298" s="470"/>
    </row>
    <row r="299" spans="1:12" s="469" customFormat="1" ht="12.5"/>
    <row r="300" spans="1:12" s="469" customFormat="1" ht="12.5">
      <c r="C300" s="252" t="s">
        <v>203</v>
      </c>
      <c r="D300" s="513" t="s">
        <v>308</v>
      </c>
      <c r="E300" s="513"/>
      <c r="F300" s="513"/>
      <c r="G300" s="513"/>
      <c r="H300" s="513"/>
      <c r="I300" s="513"/>
    </row>
    <row r="301" spans="1:12" s="469" customFormat="1" ht="12.5">
      <c r="C301" s="26" t="s">
        <v>8</v>
      </c>
      <c r="D301" s="77" t="str">
        <f t="shared" ref="D301:I301" si="79">D276</f>
        <v>12-24</v>
      </c>
      <c r="E301" s="77" t="str">
        <f t="shared" si="79"/>
        <v>24-36</v>
      </c>
      <c r="F301" s="77" t="str">
        <f t="shared" si="79"/>
        <v>36-48</v>
      </c>
      <c r="G301" s="77" t="str">
        <f t="shared" si="79"/>
        <v>48-60</v>
      </c>
      <c r="H301" s="77" t="str">
        <f t="shared" si="79"/>
        <v>60-72</v>
      </c>
      <c r="I301" s="77" t="str">
        <f t="shared" si="79"/>
        <v>72-84</v>
      </c>
    </row>
    <row r="302" spans="1:12" s="469" customFormat="1" ht="4.5" customHeight="1"/>
    <row r="303" spans="1:12" s="469" customFormat="1" ht="12.5">
      <c r="C303" s="252">
        <f t="shared" ref="C303:C310" si="80">C278</f>
        <v>2012</v>
      </c>
      <c r="D303" s="367"/>
      <c r="E303" s="367"/>
      <c r="F303" s="367"/>
      <c r="G303" s="367"/>
      <c r="H303" s="367"/>
      <c r="I303" s="367">
        <v>1.0556289469887046</v>
      </c>
    </row>
    <row r="304" spans="1:12" s="469" customFormat="1" ht="12.5">
      <c r="C304" s="252">
        <f t="shared" si="80"/>
        <v>2013</v>
      </c>
      <c r="D304" s="367"/>
      <c r="E304" s="367"/>
      <c r="F304" s="367"/>
      <c r="G304" s="367"/>
      <c r="H304" s="367">
        <v>1.0756211601682892</v>
      </c>
      <c r="I304" s="367">
        <v>1.0480166068042396</v>
      </c>
    </row>
    <row r="305" spans="1:12" s="469" customFormat="1" ht="12.5">
      <c r="C305" s="252">
        <f t="shared" si="80"/>
        <v>2014</v>
      </c>
      <c r="D305" s="367"/>
      <c r="E305" s="367"/>
      <c r="F305" s="367"/>
      <c r="G305" s="367">
        <v>1.1201255877153331</v>
      </c>
      <c r="H305" s="367">
        <v>1.0754141198718392</v>
      </c>
      <c r="I305" s="367">
        <v>1.0428308649083162</v>
      </c>
    </row>
    <row r="306" spans="1:12" s="469" customFormat="1" ht="12.5">
      <c r="C306" s="252">
        <f t="shared" si="80"/>
        <v>2015</v>
      </c>
      <c r="D306" s="367"/>
      <c r="E306" s="367"/>
      <c r="F306" s="367">
        <v>1.2174613437076485</v>
      </c>
      <c r="G306" s="367">
        <v>1.110956304701245</v>
      </c>
      <c r="H306" s="367">
        <v>1.062480447163622</v>
      </c>
      <c r="I306" s="367"/>
    </row>
    <row r="307" spans="1:12" s="469" customFormat="1" ht="12.5">
      <c r="C307" s="252">
        <f t="shared" si="80"/>
        <v>2016</v>
      </c>
      <c r="D307" s="367"/>
      <c r="E307" s="367">
        <v>1.4098877539088257</v>
      </c>
      <c r="F307" s="367">
        <v>1.1964912464495754</v>
      </c>
      <c r="G307" s="367">
        <v>1.0988255064513555</v>
      </c>
      <c r="H307" s="367"/>
      <c r="I307" s="367"/>
    </row>
    <row r="308" spans="1:12" s="469" customFormat="1" ht="12.5">
      <c r="C308" s="252">
        <f t="shared" si="80"/>
        <v>2017</v>
      </c>
      <c r="D308" s="367">
        <v>2.3726097662027508</v>
      </c>
      <c r="E308" s="367">
        <v>1.391469529381512</v>
      </c>
      <c r="F308" s="367">
        <v>1.1775157974664567</v>
      </c>
      <c r="G308" s="367"/>
      <c r="H308" s="367"/>
      <c r="I308" s="367"/>
    </row>
    <row r="309" spans="1:12" s="469" customFormat="1" ht="12.5">
      <c r="C309" s="252">
        <f t="shared" si="80"/>
        <v>2018</v>
      </c>
      <c r="D309" s="367">
        <v>2.3779181676438106</v>
      </c>
      <c r="E309" s="367">
        <v>1.3781514594284106</v>
      </c>
      <c r="F309" s="367"/>
      <c r="G309" s="367"/>
      <c r="H309" s="367"/>
      <c r="I309" s="367"/>
    </row>
    <row r="310" spans="1:12" s="469" customFormat="1" ht="13">
      <c r="C310" s="252">
        <f t="shared" si="80"/>
        <v>2019</v>
      </c>
      <c r="D310" s="367">
        <v>2.3467347445344546</v>
      </c>
      <c r="E310" s="493"/>
      <c r="F310" s="367"/>
      <c r="G310" s="367"/>
      <c r="H310" s="367"/>
      <c r="I310" s="367"/>
    </row>
    <row r="311" spans="1:12" s="469" customFormat="1" ht="13">
      <c r="A311" s="299"/>
      <c r="B311" s="299"/>
      <c r="C311" s="299"/>
      <c r="D311" s="299"/>
      <c r="F311" s="299"/>
      <c r="G311" s="299"/>
      <c r="H311" s="299"/>
      <c r="I311" s="299"/>
      <c r="J311" s="299"/>
      <c r="K311" s="299"/>
      <c r="L311" s="299"/>
    </row>
    <row r="312" spans="1:12" s="469" customFormat="1" ht="12.5">
      <c r="A312" s="470"/>
      <c r="B312" s="470" t="s">
        <v>327</v>
      </c>
      <c r="C312" s="470"/>
      <c r="D312" s="470"/>
      <c r="E312" s="470"/>
      <c r="F312" s="470"/>
      <c r="G312" s="470"/>
      <c r="H312" s="470"/>
      <c r="I312" s="470"/>
    </row>
    <row r="313" spans="1:12" s="469" customFormat="1" ht="12.5"/>
    <row r="314" spans="1:12" s="469" customFormat="1" ht="12.5">
      <c r="C314" s="252" t="s">
        <v>203</v>
      </c>
      <c r="D314" s="513" t="s">
        <v>308</v>
      </c>
      <c r="E314" s="513"/>
      <c r="F314" s="513"/>
      <c r="G314" s="513"/>
      <c r="H314" s="513"/>
      <c r="I314" s="513"/>
      <c r="J314" s="252"/>
      <c r="K314" s="252"/>
    </row>
    <row r="315" spans="1:12" s="469" customFormat="1" ht="12.5">
      <c r="C315" s="26" t="s">
        <v>8</v>
      </c>
      <c r="D315" s="77" t="str">
        <f t="shared" ref="D315:I315" si="81">D301</f>
        <v>12-24</v>
      </c>
      <c r="E315" s="77" t="str">
        <f t="shared" si="81"/>
        <v>24-36</v>
      </c>
      <c r="F315" s="77" t="str">
        <f t="shared" si="81"/>
        <v>36-48</v>
      </c>
      <c r="G315" s="77" t="str">
        <f t="shared" si="81"/>
        <v>48-60</v>
      </c>
      <c r="H315" s="77" t="str">
        <f t="shared" si="81"/>
        <v>60-72</v>
      </c>
      <c r="I315" s="77" t="str">
        <f t="shared" si="81"/>
        <v>72-84</v>
      </c>
      <c r="L315" s="26"/>
    </row>
    <row r="316" spans="1:12" s="469" customFormat="1" ht="4.5" customHeight="1"/>
    <row r="317" spans="1:12" s="469" customFormat="1" ht="12.5">
      <c r="C317" s="252">
        <f t="shared" ref="C317:C322" si="82">+C303</f>
        <v>2012</v>
      </c>
      <c r="D317" s="480"/>
      <c r="E317" s="480"/>
      <c r="F317" s="480"/>
      <c r="G317" s="480"/>
      <c r="H317" s="480"/>
      <c r="I317" s="146">
        <f>I278/I303-1</f>
        <v>-8.6622091743846497E-3</v>
      </c>
      <c r="L317" s="479"/>
    </row>
    <row r="318" spans="1:12" s="469" customFormat="1" ht="12.5">
      <c r="C318" s="252">
        <f t="shared" si="82"/>
        <v>2013</v>
      </c>
      <c r="D318" s="480"/>
      <c r="E318" s="480"/>
      <c r="F318" s="480"/>
      <c r="G318" s="480"/>
      <c r="H318" s="146">
        <f>H279/H304-1</f>
        <v>-1.4754388014872832E-2</v>
      </c>
      <c r="I318" s="146">
        <f t="shared" ref="I318" si="83">I279/I304-1</f>
        <v>-6.697379370348977E-3</v>
      </c>
      <c r="L318" s="479"/>
    </row>
    <row r="319" spans="1:12" s="469" customFormat="1" ht="12.5">
      <c r="C319" s="252">
        <f t="shared" si="82"/>
        <v>2014</v>
      </c>
      <c r="D319" s="480"/>
      <c r="E319" s="480"/>
      <c r="F319" s="480"/>
      <c r="G319" s="146">
        <f>G280/G305-1</f>
        <v>-1.3719309546475711E-2</v>
      </c>
      <c r="H319" s="146">
        <f t="shared" ref="H319:I319" si="84">H280/H305-1</f>
        <v>-1.0031780449603067E-2</v>
      </c>
      <c r="I319" s="146">
        <f t="shared" si="84"/>
        <v>-3.6734729736369598E-3</v>
      </c>
      <c r="L319" s="479"/>
    </row>
    <row r="320" spans="1:12" s="469" customFormat="1" ht="12.5">
      <c r="C320" s="252">
        <f t="shared" si="82"/>
        <v>2015</v>
      </c>
      <c r="D320" s="480"/>
      <c r="E320" s="480"/>
      <c r="F320" s="146">
        <f>F281/F306-1</f>
        <v>-3.7507099937912347E-3</v>
      </c>
      <c r="G320" s="146">
        <f t="shared" ref="G320:H320" si="85">G281/G306-1</f>
        <v>-8.3107151188190898E-3</v>
      </c>
      <c r="H320" s="146">
        <f t="shared" si="85"/>
        <v>-2.8861684021004308E-3</v>
      </c>
      <c r="I320" s="480"/>
      <c r="L320" s="479"/>
    </row>
    <row r="321" spans="1:12" s="469" customFormat="1" ht="12.5">
      <c r="C321" s="252">
        <f t="shared" si="82"/>
        <v>2016</v>
      </c>
      <c r="D321" s="480"/>
      <c r="E321" s="146">
        <f>E282/E307-1</f>
        <v>-8.1571780730038679E-4</v>
      </c>
      <c r="F321" s="146">
        <f t="shared" ref="F321:G321" si="86">F282/F307-1</f>
        <v>-1.1049200535805381E-3</v>
      </c>
      <c r="G321" s="146">
        <f t="shared" si="86"/>
        <v>-3.8778562130381555E-4</v>
      </c>
      <c r="H321" s="480"/>
      <c r="I321" s="480"/>
      <c r="L321" s="479"/>
    </row>
    <row r="322" spans="1:12" s="469" customFormat="1" ht="12.5">
      <c r="C322" s="252">
        <f t="shared" si="82"/>
        <v>2017</v>
      </c>
      <c r="D322" s="146">
        <f>D283/D308-1</f>
        <v>-1.2030402201945622E-2</v>
      </c>
      <c r="E322" s="146">
        <f t="shared" ref="D322:E324" si="87">E283/E308-1</f>
        <v>4.826064164114019E-4</v>
      </c>
      <c r="F322" s="146">
        <f t="shared" ref="F322" si="88">F283/F308-1</f>
        <v>1.1562443508119191E-2</v>
      </c>
      <c r="G322" s="480"/>
      <c r="H322" s="480"/>
      <c r="I322" s="480"/>
      <c r="L322" s="479"/>
    </row>
    <row r="323" spans="1:12" s="469" customFormat="1" ht="12.5">
      <c r="C323" s="252">
        <f>+C309</f>
        <v>2018</v>
      </c>
      <c r="D323" s="146">
        <f t="shared" si="87"/>
        <v>-1.310176462965229E-2</v>
      </c>
      <c r="E323" s="146">
        <f t="shared" si="87"/>
        <v>1.3012801438190724E-2</v>
      </c>
      <c r="F323" s="480"/>
      <c r="G323" s="480"/>
      <c r="H323" s="480"/>
      <c r="I323" s="480"/>
      <c r="L323" s="479"/>
    </row>
    <row r="324" spans="1:12" s="469" customFormat="1" ht="12.5">
      <c r="C324" s="252">
        <f>+C310</f>
        <v>2019</v>
      </c>
      <c r="D324" s="146">
        <f t="shared" si="87"/>
        <v>1.128716388285822E-3</v>
      </c>
      <c r="E324" s="480"/>
      <c r="F324" s="480"/>
      <c r="G324" s="480"/>
      <c r="H324" s="480"/>
      <c r="I324" s="480"/>
      <c r="L324" s="479"/>
    </row>
    <row r="325" spans="1:12" s="469" customFormat="1" ht="12.5">
      <c r="C325" s="252"/>
      <c r="D325" s="480"/>
      <c r="F325" s="480"/>
      <c r="G325" s="480"/>
      <c r="H325" s="480"/>
      <c r="I325" s="480"/>
      <c r="L325" s="479"/>
    </row>
    <row r="326" spans="1:12" s="469" customFormat="1" ht="12.75" customHeight="1">
      <c r="A326" s="314"/>
      <c r="B326" s="470" t="s">
        <v>402</v>
      </c>
      <c r="C326" s="470"/>
      <c r="D326" s="470"/>
      <c r="E326" s="470"/>
      <c r="F326" s="470"/>
      <c r="G326" s="470"/>
      <c r="H326" s="470"/>
      <c r="I326" s="470"/>
      <c r="J326" s="470"/>
      <c r="K326" s="470"/>
      <c r="L326" s="470"/>
    </row>
    <row r="327" spans="1:12" s="469" customFormat="1" ht="12.75" customHeight="1">
      <c r="A327" s="470"/>
      <c r="B327" s="470" t="s">
        <v>401</v>
      </c>
      <c r="C327" s="470"/>
      <c r="D327" s="470"/>
      <c r="E327" s="470"/>
      <c r="F327" s="470"/>
      <c r="G327" s="470"/>
      <c r="H327" s="470"/>
      <c r="I327" s="470"/>
      <c r="J327" s="470"/>
      <c r="K327" s="470"/>
      <c r="L327" s="470"/>
    </row>
    <row r="328" spans="1:12" s="469" customFormat="1" ht="12.5"/>
    <row r="329" spans="1:12" s="469" customFormat="1" ht="12.5">
      <c r="C329" s="252" t="s">
        <v>203</v>
      </c>
      <c r="D329" s="513" t="s">
        <v>308</v>
      </c>
      <c r="E329" s="513"/>
      <c r="F329" s="513"/>
      <c r="G329" s="513"/>
      <c r="H329" s="513"/>
      <c r="I329" s="513"/>
    </row>
    <row r="330" spans="1:12" s="469" customFormat="1" ht="12.5">
      <c r="C330" s="26" t="s">
        <v>8</v>
      </c>
      <c r="D330" s="77" t="str">
        <f t="shared" ref="D330:I330" si="89">D315</f>
        <v>12-24</v>
      </c>
      <c r="E330" s="77" t="str">
        <f t="shared" si="89"/>
        <v>24-36</v>
      </c>
      <c r="F330" s="77" t="str">
        <f t="shared" si="89"/>
        <v>36-48</v>
      </c>
      <c r="G330" s="77" t="str">
        <f t="shared" si="89"/>
        <v>48-60</v>
      </c>
      <c r="H330" s="77" t="str">
        <f t="shared" si="89"/>
        <v>60-72</v>
      </c>
      <c r="I330" s="77" t="str">
        <f t="shared" si="89"/>
        <v>72-84</v>
      </c>
    </row>
    <row r="331" spans="1:12" s="469" customFormat="1" ht="4.5" customHeight="1"/>
    <row r="332" spans="1:12" s="469" customFormat="1" ht="12" customHeight="1">
      <c r="C332" s="252">
        <f t="shared" ref="C332:C337" si="90">+C303</f>
        <v>2012</v>
      </c>
      <c r="D332" s="484"/>
      <c r="E332" s="484"/>
      <c r="F332" s="484"/>
      <c r="G332" s="484"/>
      <c r="H332" s="484"/>
      <c r="I332" s="378">
        <v>1.053792071647629</v>
      </c>
    </row>
    <row r="333" spans="1:12" s="469" customFormat="1" ht="12.5">
      <c r="C333" s="252">
        <f t="shared" si="90"/>
        <v>2013</v>
      </c>
      <c r="D333" s="484"/>
      <c r="E333" s="484"/>
      <c r="F333" s="484"/>
      <c r="G333" s="484"/>
      <c r="H333" s="378">
        <v>1.068991489003863</v>
      </c>
      <c r="I333" s="378">
        <v>1.0449543569023929</v>
      </c>
    </row>
    <row r="334" spans="1:12" s="469" customFormat="1" ht="12.5">
      <c r="C334" s="252">
        <f t="shared" si="90"/>
        <v>2014</v>
      </c>
      <c r="D334" s="484"/>
      <c r="E334" s="484"/>
      <c r="F334" s="484"/>
      <c r="G334" s="378">
        <v>1.115483460902936</v>
      </c>
      <c r="H334" s="378">
        <v>1.0691656771144287</v>
      </c>
      <c r="I334" s="378">
        <v>1.0411612207425494</v>
      </c>
    </row>
    <row r="335" spans="1:12" s="469" customFormat="1" ht="12.5">
      <c r="C335" s="252">
        <f t="shared" si="90"/>
        <v>2015</v>
      </c>
      <c r="D335" s="484"/>
      <c r="E335" s="484"/>
      <c r="F335" s="378">
        <v>1.221401629547612</v>
      </c>
      <c r="G335" s="378">
        <v>1.1047418633576356</v>
      </c>
      <c r="H335" s="378">
        <v>1.0609291168201651</v>
      </c>
      <c r="I335" s="484"/>
    </row>
    <row r="336" spans="1:12" s="469" customFormat="1" ht="12.5">
      <c r="C336" s="252">
        <f t="shared" si="90"/>
        <v>2016</v>
      </c>
      <c r="D336" s="484"/>
      <c r="E336" s="378">
        <v>1.4158441278670555</v>
      </c>
      <c r="F336" s="378">
        <v>1.197675200855757</v>
      </c>
      <c r="G336" s="378">
        <v>1.0995734358165659</v>
      </c>
      <c r="H336" s="484"/>
      <c r="I336" s="484"/>
    </row>
    <row r="337" spans="1:11" s="469" customFormat="1" ht="12.5">
      <c r="C337" s="252">
        <f t="shared" si="90"/>
        <v>2017</v>
      </c>
      <c r="D337" s="378">
        <v>2.3572954603461578</v>
      </c>
      <c r="E337" s="378">
        <v>1.3936722707380611</v>
      </c>
      <c r="F337" s="378">
        <v>1.1916205584525643</v>
      </c>
      <c r="G337" s="484"/>
      <c r="H337" s="484"/>
      <c r="I337" s="484"/>
    </row>
    <row r="338" spans="1:11" s="469" customFormat="1" ht="12.5">
      <c r="C338" s="252">
        <f>+C309</f>
        <v>2018</v>
      </c>
      <c r="D338" s="378">
        <v>2.3468440037106868</v>
      </c>
      <c r="E338" s="378">
        <v>1.3959316403818267</v>
      </c>
      <c r="F338" s="484"/>
      <c r="G338" s="484"/>
      <c r="H338" s="484"/>
      <c r="I338" s="484"/>
    </row>
    <row r="339" spans="1:11" s="469" customFormat="1" ht="12.5">
      <c r="C339" s="252">
        <f>+C310</f>
        <v>2019</v>
      </c>
      <c r="D339" s="378">
        <v>2.3496490973633066</v>
      </c>
      <c r="E339" s="377"/>
      <c r="F339" s="484"/>
      <c r="G339" s="484"/>
      <c r="H339" s="484"/>
      <c r="I339" s="484"/>
    </row>
    <row r="340" spans="1:11" s="469" customFormat="1" ht="12.5">
      <c r="C340" s="252"/>
      <c r="E340" s="482"/>
    </row>
    <row r="341" spans="1:11" s="469" customFormat="1" ht="12.5">
      <c r="C341" s="44" t="s">
        <v>265</v>
      </c>
      <c r="D341" s="144">
        <f>D339</f>
        <v>2.3496490973633066</v>
      </c>
      <c r="E341" s="144">
        <f>E338</f>
        <v>1.3959316403818267</v>
      </c>
      <c r="F341" s="144">
        <f>F337</f>
        <v>1.1916205584525643</v>
      </c>
      <c r="G341" s="144">
        <f>G336</f>
        <v>1.0995734358165659</v>
      </c>
      <c r="H341" s="144">
        <f>H335</f>
        <v>1.0609291168201651</v>
      </c>
      <c r="I341" s="144">
        <f>I334</f>
        <v>1.0411612207425494</v>
      </c>
    </row>
    <row r="342" spans="1:11" s="469" customFormat="1" ht="12.5">
      <c r="C342" s="469" t="s">
        <v>521</v>
      </c>
      <c r="D342" s="144">
        <f>AVERAGE(D338:D339)</f>
        <v>2.3482465505369969</v>
      </c>
      <c r="E342" s="144">
        <f>AVERAGE(E337:E338)</f>
        <v>1.3948019555599438</v>
      </c>
      <c r="F342" s="144">
        <f>AVERAGE(F336:F337)</f>
        <v>1.1946478796541606</v>
      </c>
      <c r="G342" s="144">
        <f>AVERAGE(G335:G336)</f>
        <v>1.1021576495871006</v>
      </c>
      <c r="H342" s="144">
        <f>AVERAGE(H334:H335)</f>
        <v>1.0650473969672969</v>
      </c>
      <c r="I342" s="144">
        <f>AVERAGE(I333:I334)</f>
        <v>1.043057788822471</v>
      </c>
    </row>
    <row r="343" spans="1:11" s="469" customFormat="1" ht="12.5">
      <c r="C343" s="469" t="s">
        <v>280</v>
      </c>
      <c r="D343" s="144">
        <f>AVERAGE(D337:D339)</f>
        <v>2.3512628538067166</v>
      </c>
      <c r="E343" s="144">
        <f>AVERAGE(E336:E338)</f>
        <v>1.4018160129956476</v>
      </c>
      <c r="F343" s="144">
        <f>AVERAGE(F335:F337)</f>
        <v>1.203565796285311</v>
      </c>
      <c r="G343" s="144">
        <f>AVERAGE(G334:G336)</f>
        <v>1.106599586692379</v>
      </c>
      <c r="H343" s="144">
        <f>AVERAGE(H333:H335)</f>
        <v>1.0663620943128189</v>
      </c>
      <c r="I343" s="144">
        <f>AVERAGE(I332:I334)</f>
        <v>1.0466358830975238</v>
      </c>
    </row>
    <row r="344" spans="1:11" s="469" customFormat="1" ht="12.5">
      <c r="D344" s="483"/>
      <c r="E344" s="483"/>
      <c r="F344" s="483"/>
      <c r="G344" s="483"/>
      <c r="H344" s="483"/>
      <c r="I344" s="483"/>
    </row>
    <row r="345" spans="1:11" s="469" customFormat="1" ht="25" customHeight="1">
      <c r="A345" s="143" t="s">
        <v>98</v>
      </c>
      <c r="B345" s="514" t="s">
        <v>296</v>
      </c>
      <c r="C345" s="514"/>
      <c r="D345" s="514"/>
      <c r="E345" s="514"/>
      <c r="F345" s="514"/>
      <c r="G345" s="514"/>
      <c r="H345" s="514"/>
      <c r="I345" s="514"/>
      <c r="J345" s="514"/>
      <c r="K345" s="514"/>
    </row>
    <row r="346" spans="1:11" s="469" customFormat="1" ht="12.75" customHeight="1">
      <c r="A346" s="143" t="s">
        <v>283</v>
      </c>
      <c r="B346" s="514" t="s">
        <v>297</v>
      </c>
      <c r="C346" s="514"/>
      <c r="D346" s="514"/>
      <c r="E346" s="514"/>
      <c r="F346" s="514"/>
      <c r="G346" s="514"/>
      <c r="H346" s="514"/>
      <c r="I346" s="514"/>
      <c r="J346" s="514"/>
      <c r="K346" s="514"/>
    </row>
    <row r="347" spans="1:11" s="469" customFormat="1" ht="28.5" customHeight="1">
      <c r="A347" s="143" t="s">
        <v>285</v>
      </c>
      <c r="B347" s="514" t="s">
        <v>303</v>
      </c>
      <c r="C347" s="514"/>
      <c r="D347" s="514"/>
      <c r="E347" s="514"/>
      <c r="F347" s="514"/>
      <c r="G347" s="514"/>
      <c r="H347" s="514"/>
      <c r="I347" s="514"/>
      <c r="J347" s="514"/>
      <c r="K347" s="514"/>
    </row>
    <row r="348" spans="1:11" s="469" customFormat="1" ht="12.5">
      <c r="D348" s="483"/>
      <c r="E348" s="483"/>
      <c r="F348" s="483"/>
      <c r="G348" s="483"/>
      <c r="H348" s="483"/>
      <c r="I348" s="483"/>
    </row>
    <row r="349" spans="1:11" s="469" customFormat="1" ht="12.5">
      <c r="B349" s="469" t="s">
        <v>522</v>
      </c>
      <c r="C349" s="252"/>
      <c r="D349" s="26"/>
      <c r="E349" s="26"/>
      <c r="F349" s="26"/>
      <c r="G349" s="26"/>
      <c r="H349" s="26"/>
      <c r="I349" s="26"/>
    </row>
  </sheetData>
  <mergeCells count="30">
    <mergeCell ref="D100:J100"/>
    <mergeCell ref="D8:J8"/>
    <mergeCell ref="D24:J24"/>
    <mergeCell ref="D45:J45"/>
    <mergeCell ref="D68:J68"/>
    <mergeCell ref="D84:J84"/>
    <mergeCell ref="B230:K230"/>
    <mergeCell ref="B114:K114"/>
    <mergeCell ref="B115:K115"/>
    <mergeCell ref="D126:J126"/>
    <mergeCell ref="D142:J142"/>
    <mergeCell ref="D158:J158"/>
    <mergeCell ref="B172:K172"/>
    <mergeCell ref="B173:K173"/>
    <mergeCell ref="B174:J174"/>
    <mergeCell ref="D184:J184"/>
    <mergeCell ref="D201:J201"/>
    <mergeCell ref="D216:J216"/>
    <mergeCell ref="B347:K347"/>
    <mergeCell ref="B231:K231"/>
    <mergeCell ref="B232:K232"/>
    <mergeCell ref="D243:J243"/>
    <mergeCell ref="D259:J259"/>
    <mergeCell ref="D275:I275"/>
    <mergeCell ref="B289:K289"/>
    <mergeCell ref="D300:I300"/>
    <mergeCell ref="D314:I314"/>
    <mergeCell ref="D329:I329"/>
    <mergeCell ref="B345:K345"/>
    <mergeCell ref="B346:K346"/>
  </mergeCells>
  <printOptions horizontalCentered="1"/>
  <pageMargins left="0.25" right="0.25" top="0.33" bottom="0.5" header="0.3" footer="0.3"/>
  <pageSetup scale="81" orientation="portrait" blackAndWhite="1" r:id="rId1"/>
  <headerFooter scaleWithDoc="0"/>
  <rowBreaks count="5" manualBreakCount="5">
    <brk id="59" max="16383" man="1"/>
    <brk id="117" max="10" man="1"/>
    <brk id="175" max="16383" man="1"/>
    <brk id="234" max="16383" man="1"/>
    <brk id="291"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G46"/>
  <sheetViews>
    <sheetView workbookViewId="0">
      <selection sqref="A1:G1"/>
    </sheetView>
  </sheetViews>
  <sheetFormatPr defaultColWidth="9.1796875" defaultRowHeight="12.5"/>
  <cols>
    <col min="1" max="1" width="8.54296875" style="108" customWidth="1"/>
    <col min="2" max="2" width="11.7265625" style="108" customWidth="1"/>
    <col min="3" max="3" width="12" style="108" customWidth="1"/>
    <col min="4" max="5" width="11.7265625" style="108" customWidth="1"/>
    <col min="6" max="6" width="11.81640625" style="108" customWidth="1"/>
    <col min="7" max="7" width="8.54296875" style="108" customWidth="1"/>
    <col min="8" max="16384" width="9.1796875" style="108"/>
  </cols>
  <sheetData>
    <row r="1" spans="1:7" ht="13">
      <c r="A1" s="523" t="s">
        <v>43</v>
      </c>
      <c r="B1" s="523"/>
      <c r="C1" s="523"/>
      <c r="D1" s="523"/>
      <c r="E1" s="523"/>
      <c r="F1" s="523"/>
      <c r="G1" s="523"/>
    </row>
    <row r="2" spans="1:7" ht="13">
      <c r="A2" s="110"/>
      <c r="B2" s="523" t="s">
        <v>307</v>
      </c>
      <c r="C2" s="523"/>
      <c r="D2" s="523"/>
      <c r="E2" s="523"/>
      <c r="F2" s="523"/>
      <c r="G2" s="110"/>
    </row>
    <row r="3" spans="1:7" ht="13">
      <c r="A3" s="110"/>
      <c r="B3" s="525" t="s">
        <v>525</v>
      </c>
      <c r="C3" s="525"/>
      <c r="D3" s="525"/>
      <c r="E3" s="525"/>
      <c r="F3" s="525"/>
      <c r="G3" s="525"/>
    </row>
    <row r="4" spans="1:7">
      <c r="A4" s="110"/>
      <c r="B4" s="39"/>
      <c r="C4" s="38"/>
      <c r="D4" s="38"/>
      <c r="E4" s="38"/>
      <c r="F4" s="38"/>
      <c r="G4" s="110"/>
    </row>
    <row r="5" spans="1:7">
      <c r="A5" s="110"/>
      <c r="B5" s="39"/>
      <c r="C5" s="39"/>
      <c r="D5" s="524" t="s">
        <v>44</v>
      </c>
      <c r="E5" s="524"/>
      <c r="F5" s="39"/>
      <c r="G5" s="110"/>
    </row>
    <row r="6" spans="1:7">
      <c r="A6" s="110"/>
      <c r="B6" s="41"/>
      <c r="C6" s="41"/>
      <c r="D6" s="41"/>
      <c r="E6" s="362"/>
      <c r="F6" s="41"/>
      <c r="G6" s="110"/>
    </row>
    <row r="7" spans="1:7">
      <c r="A7" s="110"/>
      <c r="B7" s="41"/>
      <c r="C7" s="40" t="s">
        <v>45</v>
      </c>
      <c r="D7" s="40" t="s">
        <v>46</v>
      </c>
      <c r="E7" s="40" t="s">
        <v>47</v>
      </c>
      <c r="F7" s="40" t="s">
        <v>48</v>
      </c>
      <c r="G7" s="110"/>
    </row>
    <row r="8" spans="1:7" ht="38.25" customHeight="1">
      <c r="A8" s="110"/>
      <c r="B8" s="329" t="s">
        <v>352</v>
      </c>
      <c r="C8" s="329" t="s">
        <v>391</v>
      </c>
      <c r="D8" s="41" t="s">
        <v>375</v>
      </c>
      <c r="E8" s="330" t="s">
        <v>21</v>
      </c>
      <c r="F8" s="329" t="s">
        <v>341</v>
      </c>
      <c r="G8" s="110"/>
    </row>
    <row r="9" spans="1:7" ht="13">
      <c r="A9" s="110"/>
      <c r="B9" s="28"/>
      <c r="C9" s="32"/>
      <c r="D9" s="331"/>
      <c r="E9" s="29"/>
      <c r="F9" s="40" t="s">
        <v>342</v>
      </c>
      <c r="G9" s="110"/>
    </row>
    <row r="10" spans="1:7">
      <c r="A10" s="110"/>
      <c r="B10" s="28">
        <v>1987</v>
      </c>
      <c r="C10" s="32">
        <f>'Exhibit 1'!$C10/'Exhibit 1'!$B10</f>
        <v>0.34472648889099922</v>
      </c>
      <c r="D10" s="253">
        <f>INDEX('Exhibit 2.5.2'!$B$24:$W$24,COUNT($B10:$B$22))</f>
        <v>1.0005061282765451</v>
      </c>
      <c r="E10" s="270">
        <f>INDEX('Exhibit 2.5.2'!$B$25:$W$25,COUNT($B10:$B$22))</f>
        <v>1.0060256551668632</v>
      </c>
      <c r="F10" s="32">
        <f t="shared" ref="F10:F40" si="0">C10*E10</f>
        <v>0.34680369183993986</v>
      </c>
      <c r="G10" s="127"/>
    </row>
    <row r="11" spans="1:7">
      <c r="A11" s="110"/>
      <c r="B11" s="28">
        <f t="shared" ref="B11:B43" si="1">+B10+1</f>
        <v>1988</v>
      </c>
      <c r="C11" s="32">
        <f>'Exhibit 1'!$C11/'Exhibit 1'!$B11</f>
        <v>0.32952931880651537</v>
      </c>
      <c r="D11" s="253">
        <f>INDEX('Exhibit 2.5.2'!$B$24:$W$24,COUNT($B11:$B$22))</f>
        <v>1.0005061282765451</v>
      </c>
      <c r="E11" s="270">
        <f>INDEX('Exhibit 2.5.2'!$B$25:$W$25,COUNT($B11:$B$22))</f>
        <v>1.006534833197873</v>
      </c>
      <c r="F11" s="32">
        <f t="shared" si="0"/>
        <v>0.33168273793872466</v>
      </c>
      <c r="G11" s="127"/>
    </row>
    <row r="12" spans="1:7">
      <c r="A12" s="110"/>
      <c r="B12" s="28">
        <f t="shared" si="1"/>
        <v>1989</v>
      </c>
      <c r="C12" s="32">
        <f>'Exhibit 1'!$C12/'Exhibit 1'!$B12</f>
        <v>0.34199814716969296</v>
      </c>
      <c r="D12" s="253">
        <f>INDEX('Exhibit 2.5.2'!$B$24:$W$24,COUNT($B12:$B$22))</f>
        <v>1.0006666666666666</v>
      </c>
      <c r="E12" s="270">
        <f>INDEX('Exhibit 2.5.2'!$B$25:$W$25,COUNT($B12:$B$22))</f>
        <v>1.0072058564200048</v>
      </c>
      <c r="F12" s="32">
        <f t="shared" si="0"/>
        <v>0.34446253671410543</v>
      </c>
      <c r="G12" s="127"/>
    </row>
    <row r="13" spans="1:7">
      <c r="A13" s="110"/>
      <c r="B13" s="28">
        <f t="shared" si="1"/>
        <v>1990</v>
      </c>
      <c r="C13" s="32">
        <f>'Exhibit 1'!$C13/'Exhibit 1'!$B13</f>
        <v>0.39652458009095209</v>
      </c>
      <c r="D13" s="253">
        <f>INDEX('Exhibit 2.5.2'!$B$24:$W$24,COUNT($B13:$B$22))</f>
        <v>1.0005114164997231</v>
      </c>
      <c r="E13" s="270">
        <f>INDEX('Exhibit 2.5.2'!$B$25:$W$25,COUNT($B13:$B$22))</f>
        <v>1.0077209581135957</v>
      </c>
      <c r="F13" s="32">
        <f t="shared" si="0"/>
        <v>0.39958612976484548</v>
      </c>
      <c r="G13" s="127"/>
    </row>
    <row r="14" spans="1:7">
      <c r="A14" s="110"/>
      <c r="B14" s="28">
        <f t="shared" si="1"/>
        <v>1991</v>
      </c>
      <c r="C14" s="32">
        <f>'Exhibit 1'!$C14/'Exhibit 1'!$B14</f>
        <v>0.42288653035733303</v>
      </c>
      <c r="D14" s="253">
        <f>INDEX('Exhibit 2.5.2'!$B$24:$W$24,COUNT($B14:$B$22))</f>
        <v>1.0007678451252728</v>
      </c>
      <c r="E14" s="270">
        <f>INDEX('Exhibit 2.5.2'!$B$25:$W$25,COUNT($B14:$B$22))</f>
        <v>1.0084947317389186</v>
      </c>
      <c r="F14" s="32">
        <f t="shared" si="0"/>
        <v>0.4264788379887206</v>
      </c>
      <c r="G14" s="127"/>
    </row>
    <row r="15" spans="1:7">
      <c r="A15" s="110"/>
      <c r="B15" s="28">
        <f t="shared" si="1"/>
        <v>1992</v>
      </c>
      <c r="C15" s="32">
        <f>'Exhibit 1'!$C15/'Exhibit 1'!$B15</f>
        <v>0.34817429301887259</v>
      </c>
      <c r="D15" s="253">
        <f>INDEX('Exhibit 2.5.2'!$B$24:$W$24,COUNT($B15:$B$22))</f>
        <v>1.0007736254062902</v>
      </c>
      <c r="E15" s="270">
        <f>INDEX('Exhibit 2.5.2'!$B$25:$W$25,COUNT($B15:$B$22))</f>
        <v>1.0092749288855016</v>
      </c>
      <c r="F15" s="32">
        <f t="shared" si="0"/>
        <v>0.35140358482638245</v>
      </c>
      <c r="G15" s="127"/>
    </row>
    <row r="16" spans="1:7">
      <c r="A16" s="110"/>
      <c r="B16" s="28">
        <f t="shared" si="1"/>
        <v>1993</v>
      </c>
      <c r="C16" s="32">
        <f>'Exhibit 1'!$C16/'Exhibit 1'!$B16</f>
        <v>0.28570163779515773</v>
      </c>
      <c r="D16" s="253">
        <f>INDEX('Exhibit 2.5.2'!$B$24:$W$24,COUNT($B16:$B$22))</f>
        <v>1.0007624653076028</v>
      </c>
      <c r="E16" s="270">
        <f>INDEX('Exhibit 2.5.2'!$B$25:$W$25,COUNT($B16:$B$22))</f>
        <v>1.0100444660046102</v>
      </c>
      <c r="F16" s="32">
        <f t="shared" si="0"/>
        <v>0.28857135818345264</v>
      </c>
      <c r="G16" s="127"/>
    </row>
    <row r="17" spans="1:7">
      <c r="A17" s="110"/>
      <c r="B17" s="28">
        <f t="shared" si="1"/>
        <v>1994</v>
      </c>
      <c r="C17" s="32">
        <f>'Exhibit 1'!$C17/'Exhibit 1'!$B17</f>
        <v>0.32389972382842003</v>
      </c>
      <c r="D17" s="253">
        <f>INDEX('Exhibit 2.5.2'!$B$24:$W$24,COUNT($B17:$B$22))</f>
        <v>1.0007466432615266</v>
      </c>
      <c r="E17" s="270">
        <f>INDEX('Exhibit 2.5.2'!$B$25:$W$25,COUNT($B17:$B$22))</f>
        <v>1.0107986088989949</v>
      </c>
      <c r="F17" s="32">
        <f t="shared" si="0"/>
        <v>0.32739739026853559</v>
      </c>
      <c r="G17" s="127"/>
    </row>
    <row r="18" spans="1:7">
      <c r="A18" s="110"/>
      <c r="B18" s="28">
        <f t="shared" si="1"/>
        <v>1995</v>
      </c>
      <c r="C18" s="32">
        <f>'Exhibit 1'!$C18/'Exhibit 1'!$B18</f>
        <v>0.46721529743901624</v>
      </c>
      <c r="D18" s="253">
        <f>INDEX('Exhibit 2.5.2'!$B$24:$W$24,COUNT($B18:$B$22))</f>
        <v>1.0007283497214183</v>
      </c>
      <c r="E18" s="270">
        <f>INDEX('Exhibit 2.5.2'!$B$25:$W$25,COUNT($B18:$B$22))</f>
        <v>1.0115348237841966</v>
      </c>
      <c r="F18" s="32">
        <f t="shared" si="0"/>
        <v>0.4726045435642563</v>
      </c>
      <c r="G18" s="127"/>
    </row>
    <row r="19" spans="1:7">
      <c r="A19" s="110"/>
      <c r="B19" s="28">
        <f t="shared" si="1"/>
        <v>1996</v>
      </c>
      <c r="C19" s="32">
        <f>'Exhibit 1'!$C19/'Exhibit 1'!$B19</f>
        <v>0.52362589944806004</v>
      </c>
      <c r="D19" s="253">
        <f>INDEX('Exhibit 2.5.2'!$B$24:$W$24,COUNT($B19:$B$22))</f>
        <v>1.0009554480295018</v>
      </c>
      <c r="E19" s="270">
        <f>INDEX('Exhibit 2.5.2'!$B$25:$W$25,COUNT($B19:$B$22))</f>
        <v>1.0125012927383537</v>
      </c>
      <c r="F19" s="32">
        <f t="shared" si="0"/>
        <v>0.53017190010244397</v>
      </c>
      <c r="G19" s="127"/>
    </row>
    <row r="20" spans="1:7">
      <c r="A20" s="110"/>
      <c r="B20" s="28">
        <f t="shared" si="1"/>
        <v>1997</v>
      </c>
      <c r="C20" s="32">
        <f>'Exhibit 1'!$C20/'Exhibit 1'!$B20</f>
        <v>0.59242286196557692</v>
      </c>
      <c r="D20" s="253">
        <f>INDEX('Exhibit 2.5.2'!$B$24:$W$24,COUNT($B20:$B$22))</f>
        <v>1.0014180116787539</v>
      </c>
      <c r="E20" s="270">
        <f>INDEX('Exhibit 2.5.2'!$B$25:$W$25,COUNT($B20:$B$22))</f>
        <v>1.0139370313962099</v>
      </c>
      <c r="F20" s="32">
        <f t="shared" si="0"/>
        <v>0.60067947799262367</v>
      </c>
      <c r="G20" s="127"/>
    </row>
    <row r="21" spans="1:7">
      <c r="A21" s="110"/>
      <c r="B21" s="28">
        <f t="shared" si="1"/>
        <v>1998</v>
      </c>
      <c r="C21" s="32">
        <f>'Exhibit 1'!$C21/'Exhibit 1'!$B21</f>
        <v>0.64262824362042936</v>
      </c>
      <c r="D21" s="253">
        <f>INDEX('Exhibit 2.5.2'!$B$24:$W$24,COUNT($B21:$B$22))</f>
        <v>1.0018770752614823</v>
      </c>
      <c r="E21" s="270">
        <f>INDEX('Exhibit 2.5.2'!$B$25:$W$25,COUNT($B21:$B$22))</f>
        <v>1.0158402675145446</v>
      </c>
      <c r="F21" s="32">
        <f t="shared" si="0"/>
        <v>0.65280764691177895</v>
      </c>
      <c r="G21" s="127"/>
    </row>
    <row r="22" spans="1:7">
      <c r="A22" s="110"/>
      <c r="B22" s="28">
        <f t="shared" si="1"/>
        <v>1999</v>
      </c>
      <c r="C22" s="32">
        <f>'Exhibit 1'!$C22/'Exhibit 1'!$B22</f>
        <v>0.67337327171687489</v>
      </c>
      <c r="D22" s="253">
        <f>INDEX('Exhibit 2.5.2'!$B$24:$W$24,COUNT($B$22:$B22))</f>
        <v>1.0029999999999999</v>
      </c>
      <c r="E22" s="270">
        <f>INDEX('Exhibit 2.5.2'!$B$25:$W$25,COUNT($B$22:$B22))</f>
        <v>1.0188877883170881</v>
      </c>
      <c r="F22" s="32">
        <f t="shared" ref="F22" si="2">C22*E22</f>
        <v>0.68609180353144827</v>
      </c>
      <c r="G22" s="127"/>
    </row>
    <row r="23" spans="1:7">
      <c r="A23" s="110"/>
      <c r="B23" s="28">
        <f t="shared" si="1"/>
        <v>2000</v>
      </c>
      <c r="C23" s="32">
        <f>'Exhibit 1'!$C23/'Exhibit 1'!$B23</f>
        <v>0.58037238101087918</v>
      </c>
      <c r="D23" s="29">
        <f ca="1">INDEX('Exhibit 2.5.1'!$B$32:$V$32,COUNT($B23:$B$43))</f>
        <v>1.0026666666666666</v>
      </c>
      <c r="E23" s="32">
        <f ca="1">INDEX('Exhibit 2.5.1'!$B$33:$V$33,COUNT($B23:$B$43))</f>
        <v>1.0216048224192671</v>
      </c>
      <c r="F23" s="32">
        <f t="shared" ca="1" si="0"/>
        <v>0.5929112232396665</v>
      </c>
      <c r="G23" s="127"/>
    </row>
    <row r="24" spans="1:7">
      <c r="A24" s="110"/>
      <c r="B24" s="28">
        <f t="shared" si="1"/>
        <v>2001</v>
      </c>
      <c r="C24" s="32">
        <f>'Exhibit 1'!$C24/'Exhibit 1'!$B24</f>
        <v>0.48053050642466771</v>
      </c>
      <c r="D24" s="29">
        <f ca="1">INDEX('Exhibit 2.5.1'!$B$32:$V$32,COUNT($B24:$B$43))</f>
        <v>1.0026666666666666</v>
      </c>
      <c r="E24" s="29">
        <f ca="1">INDEX('Exhibit 2.5.1'!$B$33:$V$33,COUNT($B24:$B$43))</f>
        <v>1.0243291019457184</v>
      </c>
      <c r="F24" s="29">
        <f t="shared" ca="1" si="0"/>
        <v>0.49222138210350114</v>
      </c>
      <c r="G24" s="127"/>
    </row>
    <row r="25" spans="1:7">
      <c r="A25" s="110"/>
      <c r="B25" s="28">
        <f t="shared" si="1"/>
        <v>2002</v>
      </c>
      <c r="C25" s="32">
        <f>'Exhibit 1'!$C25/'Exhibit 1'!$B25</f>
        <v>0.35665724742626731</v>
      </c>
      <c r="D25" s="29">
        <f ca="1">INDEX('Exhibit 2.5.1'!$B$32:$V$32,COUNT($B25:$B$43))</f>
        <v>1.0033333333333332</v>
      </c>
      <c r="E25" s="29">
        <f ca="1">INDEX('Exhibit 2.5.1'!$B$33:$V$33,COUNT($B25:$B$43))</f>
        <v>1.0277435322855373</v>
      </c>
      <c r="F25" s="29">
        <f t="shared" ca="1" si="0"/>
        <v>0.3665521792851088</v>
      </c>
      <c r="G25" s="127"/>
    </row>
    <row r="26" spans="1:7">
      <c r="A26" s="110"/>
      <c r="B26" s="28">
        <f t="shared" si="1"/>
        <v>2003</v>
      </c>
      <c r="C26" s="32">
        <f>'Exhibit 1'!$C26/'Exhibit 1'!$B26</f>
        <v>0.23512445899269876</v>
      </c>
      <c r="D26" s="29">
        <f ca="1">INDEX('Exhibit 2.5.1'!$B$32:$V$32,COUNT($B26:$B$43))</f>
        <v>1.0043333333333333</v>
      </c>
      <c r="E26" s="29">
        <f ca="1">INDEX('Exhibit 2.5.1'!$B$33:$V$33,COUNT($B26:$B$43))</f>
        <v>1.0321970875921078</v>
      </c>
      <c r="F26" s="29">
        <f t="shared" ca="1" si="0"/>
        <v>0.24269478179393364</v>
      </c>
      <c r="G26" s="127"/>
    </row>
    <row r="27" spans="1:7">
      <c r="A27" s="110"/>
      <c r="B27" s="28">
        <f t="shared" si="1"/>
        <v>2004</v>
      </c>
      <c r="C27" s="32">
        <f>'Exhibit 1'!$C27/'Exhibit 1'!$B27</f>
        <v>0.13988214115188383</v>
      </c>
      <c r="D27" s="29">
        <f ca="1">INDEX('Exhibit 2.5.1'!$B$32:$V$32,COUNT($B27:$B$43))</f>
        <v>1.0056666666666665</v>
      </c>
      <c r="E27" s="29">
        <f ca="1">INDEX('Exhibit 2.5.1'!$B$33:$V$33,COUNT($B27:$B$43))</f>
        <v>1.0380462044217962</v>
      </c>
      <c r="F27" s="29">
        <f t="shared" ca="1" si="0"/>
        <v>0.14520412568910696</v>
      </c>
      <c r="G27" s="127"/>
    </row>
    <row r="28" spans="1:7">
      <c r="A28" s="110"/>
      <c r="B28" s="28">
        <f t="shared" si="1"/>
        <v>2005</v>
      </c>
      <c r="C28" s="32">
        <f>'Exhibit 1'!$C28/'Exhibit 1'!$B28</f>
        <v>0.11930882509593195</v>
      </c>
      <c r="D28" s="29">
        <f ca="1">INDEX('Exhibit 2.5.1'!$B$32:$V$32,COUNT($B28:$B$43))</f>
        <v>1.006</v>
      </c>
      <c r="E28" s="29">
        <f ca="1">INDEX('Exhibit 2.5.1'!$B$33:$V$33,COUNT($B28:$B$43))</f>
        <v>1.0442744816483269</v>
      </c>
      <c r="F28" s="29">
        <f t="shared" ca="1" si="0"/>
        <v>0.12459116148312524</v>
      </c>
      <c r="G28" s="127"/>
    </row>
    <row r="29" spans="1:7">
      <c r="A29" s="110"/>
      <c r="B29" s="28">
        <f t="shared" si="1"/>
        <v>2006</v>
      </c>
      <c r="C29" s="32">
        <f>'Exhibit 1'!$C29/'Exhibit 1'!$B29</f>
        <v>0.15304456389772769</v>
      </c>
      <c r="D29" s="29">
        <f ca="1">INDEX('Exhibit 2.5.1'!$B$32:$V$32,COUNT($B29:$B$43))</f>
        <v>1.0086666666666666</v>
      </c>
      <c r="E29" s="29">
        <f ca="1">INDEX('Exhibit 2.5.1'!$B$33:$V$33,COUNT($B29:$B$43))</f>
        <v>1.0533248604892791</v>
      </c>
      <c r="F29" s="29">
        <f t="shared" ca="1" si="0"/>
        <v>0.16120564391621658</v>
      </c>
      <c r="G29" s="127"/>
    </row>
    <row r="30" spans="1:7">
      <c r="A30" s="110"/>
      <c r="B30" s="28">
        <f t="shared" si="1"/>
        <v>2007</v>
      </c>
      <c r="C30" s="32">
        <f>'Exhibit 1'!$C30/'Exhibit 1'!$B30</f>
        <v>0.21000067605672043</v>
      </c>
      <c r="D30" s="29">
        <f ca="1">INDEX('Exhibit 2.5.1'!$B$32:$V$32,COUNT($B30:$B$43))</f>
        <v>1.0089999999999999</v>
      </c>
      <c r="E30" s="29">
        <f ca="1">INDEX('Exhibit 2.5.1'!$B$33:$V$33,COUNT($B30:$B$43))</f>
        <v>1.0628047842336825</v>
      </c>
      <c r="F30" s="29">
        <f t="shared" ca="1" si="0"/>
        <v>0.22318972320539021</v>
      </c>
      <c r="G30" s="127"/>
    </row>
    <row r="31" spans="1:7">
      <c r="A31" s="110"/>
      <c r="B31" s="28">
        <f t="shared" si="1"/>
        <v>2008</v>
      </c>
      <c r="C31" s="32">
        <f>'Exhibit 1'!$C31/'Exhibit 1'!$B31</f>
        <v>0.26274209841672841</v>
      </c>
      <c r="D31" s="29">
        <f ca="1">INDEX('Exhibit 2.5.1'!$B$32:$V$32,COUNT($B31:$B$43))</f>
        <v>1.0113333333333332</v>
      </c>
      <c r="E31" s="29">
        <f ca="1">INDEX('Exhibit 2.5.1'!$B$33:$V$33,COUNT($B31:$B$43))</f>
        <v>1.074849905121664</v>
      </c>
      <c r="F31" s="29">
        <f t="shared" ca="1" si="0"/>
        <v>0.28240831955468743</v>
      </c>
      <c r="G31" s="127"/>
    </row>
    <row r="32" spans="1:7">
      <c r="A32" s="110"/>
      <c r="B32" s="28">
        <f t="shared" si="1"/>
        <v>2009</v>
      </c>
      <c r="C32" s="32">
        <f>'Exhibit 1'!$C32/'Exhibit 1'!$B32</f>
        <v>0.30371594999512502</v>
      </c>
      <c r="D32" s="29">
        <f ca="1">INDEX('Exhibit 2.5.1'!$B$32:$V$32,COUNT($B32:$B$43))</f>
        <v>1.0116666666666667</v>
      </c>
      <c r="E32" s="29">
        <f ca="1">INDEX('Exhibit 2.5.1'!$B$33:$V$33,COUNT($B32:$B$43))</f>
        <v>1.0873898206814168</v>
      </c>
      <c r="F32" s="29">
        <f t="shared" ca="1" si="0"/>
        <v>0.33025763240328515</v>
      </c>
      <c r="G32" s="127"/>
    </row>
    <row r="33" spans="1:7">
      <c r="A33" s="110"/>
      <c r="B33" s="28">
        <f t="shared" si="1"/>
        <v>2010</v>
      </c>
      <c r="C33" s="32">
        <f>'Exhibit 1'!$C33/'Exhibit 1'!$B33</f>
        <v>0.28948315129075974</v>
      </c>
      <c r="D33" s="29">
        <f ca="1">INDEX('Exhibit 2.5.1'!$B$32:$V$32,COUNT($B33:$B$43))</f>
        <v>1.014</v>
      </c>
      <c r="E33" s="29">
        <f ca="1">INDEX('Exhibit 2.5.1'!$B$33:$V$33,COUNT($B33:$B$43))</f>
        <v>1.1026132781709566</v>
      </c>
      <c r="F33" s="29">
        <f t="shared" ca="1" si="0"/>
        <v>0.31918796641996355</v>
      </c>
      <c r="G33" s="127"/>
    </row>
    <row r="34" spans="1:7">
      <c r="A34" s="110"/>
      <c r="B34" s="28">
        <f t="shared" si="1"/>
        <v>2011</v>
      </c>
      <c r="C34" s="32">
        <f>'Exhibit 1'!$C34/'Exhibit 1'!$B34</f>
        <v>0.26584765652405756</v>
      </c>
      <c r="D34" s="29">
        <f ca="1">INDEX('Exhibit 2.5.1'!$B$32:$V$32,COUNT($B34:$B$43))</f>
        <v>1.0166666666666666</v>
      </c>
      <c r="E34" s="29">
        <f ca="1">INDEX('Exhibit 2.5.1'!$B$33:$V$33,COUNT($B34:$B$43))</f>
        <v>1.1209901661404724</v>
      </c>
      <c r="F34" s="29">
        <f t="shared" ca="1" si="0"/>
        <v>0.29801260865495854</v>
      </c>
      <c r="G34" s="110"/>
    </row>
    <row r="35" spans="1:7">
      <c r="A35" s="110"/>
      <c r="B35" s="28">
        <f t="shared" si="1"/>
        <v>2012</v>
      </c>
      <c r="C35" s="32">
        <f>'Exhibit 1'!$C35/'Exhibit 1'!$B35</f>
        <v>0.2338770523503689</v>
      </c>
      <c r="D35" s="29">
        <f ca="1">INDEX('Exhibit 2.5.1'!$B$32:$V$32,COUNT($B35:$B$43))</f>
        <v>1.0199999999999998</v>
      </c>
      <c r="E35" s="29">
        <f ca="1">INDEX('Exhibit 2.5.1'!$B$33:$V$33,COUNT($B35:$B$43))</f>
        <v>1.1434099694632816</v>
      </c>
      <c r="F35" s="29">
        <f t="shared" ca="1" si="0"/>
        <v>0.26741735328609761</v>
      </c>
      <c r="G35" s="110"/>
    </row>
    <row r="36" spans="1:7">
      <c r="A36" s="110"/>
      <c r="B36" s="28">
        <f t="shared" si="1"/>
        <v>2013</v>
      </c>
      <c r="C36" s="32">
        <f>'Exhibit 1'!$C36/'Exhibit 1'!$B36</f>
        <v>0.19585192126136497</v>
      </c>
      <c r="D36" s="29">
        <f>INDEX('Exhibit 2.5.1'!$B$32:$V$32,COUNT($B36:$B$43))</f>
        <v>1.0245</v>
      </c>
      <c r="E36" s="29">
        <f ca="1">INDEX('Exhibit 2.5.1'!$B$33:$V$33,COUNT($B36:$B$43))</f>
        <v>1.1714235137151319</v>
      </c>
      <c r="F36" s="29">
        <f t="shared" ca="1" si="0"/>
        <v>0.22942554577184748</v>
      </c>
      <c r="G36" s="110"/>
    </row>
    <row r="37" spans="1:7">
      <c r="A37" s="110"/>
      <c r="B37" s="28">
        <f t="shared" si="1"/>
        <v>2014</v>
      </c>
      <c r="C37" s="32">
        <f>'Exhibit 1'!$C37/'Exhibit 1'!$B37</f>
        <v>0.18101228276704767</v>
      </c>
      <c r="D37" s="29">
        <f>VALUE(LEFT(INDEX('Exhibit 2.5.1'!$B$32:$V$32,COUNT($B37:$B$43)),5))</f>
        <v>1.0309999999999999</v>
      </c>
      <c r="E37" s="29">
        <f ca="1">INDEX('Exhibit 2.5.1'!$B$33:$V$33,COUNT($B37:$B$43))</f>
        <v>1.207737642640301</v>
      </c>
      <c r="F37" s="29">
        <f t="shared" ca="1" si="0"/>
        <v>0.21861534767801374</v>
      </c>
      <c r="G37" s="110"/>
    </row>
    <row r="38" spans="1:7">
      <c r="A38" s="110"/>
      <c r="B38" s="28">
        <f t="shared" si="1"/>
        <v>2015</v>
      </c>
      <c r="C38" s="32">
        <f>'Exhibit 1'!$C38/'Exhibit 1'!$B38</f>
        <v>0.16982528753916598</v>
      </c>
      <c r="D38" s="29">
        <f>VALUE(LEFT(INDEX('Exhibit 2.5.1'!$B$32:$V$32,COUNT($B38:$B$43)),5))</f>
        <v>1.036</v>
      </c>
      <c r="E38" s="29">
        <f ca="1">INDEX('Exhibit 2.5.1'!$B$33:$V$33,COUNT($B38:$B$43))</f>
        <v>1.2511722950224942</v>
      </c>
      <c r="F38" s="29">
        <f t="shared" ca="1" si="0"/>
        <v>0.21248069476323328</v>
      </c>
      <c r="G38" s="110"/>
    </row>
    <row r="39" spans="1:7">
      <c r="A39" s="110"/>
      <c r="B39" s="28">
        <f t="shared" si="1"/>
        <v>2016</v>
      </c>
      <c r="C39" s="32">
        <f>'Exhibit 1'!$C39/'Exhibit 1'!$B39</f>
        <v>0.15202150256881353</v>
      </c>
      <c r="D39" s="29">
        <f>VALUE(LEFT(INDEX('Exhibit 2.5.1'!$B$32:$V$32,COUNT($B39:$B$43)),5))</f>
        <v>1.0580000000000001</v>
      </c>
      <c r="E39" s="29">
        <f ca="1">INDEX('Exhibit 2.5.1'!$B$33:$V$33,COUNT($B39:$B$43))</f>
        <v>1.3235392816012683</v>
      </c>
      <c r="F39" s="29">
        <f t="shared" ca="1" si="0"/>
        <v>0.20120643029787283</v>
      </c>
      <c r="G39" s="110"/>
    </row>
    <row r="40" spans="1:7">
      <c r="A40" s="110"/>
      <c r="B40" s="28">
        <f t="shared" si="1"/>
        <v>2017</v>
      </c>
      <c r="C40" s="32">
        <f>'Exhibit 1'!$C40/'Exhibit 1'!$B40</f>
        <v>0.14031004935800961</v>
      </c>
      <c r="D40" s="29">
        <f>VALUE(LEFT(INDEX('Exhibit 2.5.1'!$B$32:$V$32,COUNT($B40:$B$43)),5))</f>
        <v>1.105</v>
      </c>
      <c r="E40" s="29">
        <f ca="1">INDEX('Exhibit 2.5.1'!$B$33:$V$33,COUNT($B40:$B$43))</f>
        <v>1.4619652823444655</v>
      </c>
      <c r="F40" s="29">
        <f t="shared" ca="1" si="0"/>
        <v>0.20512842092544842</v>
      </c>
      <c r="G40" s="110"/>
    </row>
    <row r="41" spans="1:7">
      <c r="A41" s="110"/>
      <c r="B41" s="28">
        <f t="shared" si="1"/>
        <v>2018</v>
      </c>
      <c r="C41" s="32">
        <f>'Exhibit 1'!$C41/'Exhibit 1'!$B41</f>
        <v>0.12171705014084516</v>
      </c>
      <c r="D41" s="29">
        <f>VALUE(LEFT(INDEX('Exhibit 2.5.1'!$B$32:$V$32,COUNT($B41:$B$43)),5))</f>
        <v>1.23</v>
      </c>
      <c r="E41" s="29">
        <f ca="1">INDEX('Exhibit 2.5.1'!$B$33:$V$33,COUNT($B41:$B$43))</f>
        <v>1.7985917124471071</v>
      </c>
      <c r="F41" s="29">
        <f t="shared" ref="F41:F43" ca="1" si="3">C41*E41</f>
        <v>0.21891927764683311</v>
      </c>
      <c r="G41" s="110"/>
    </row>
    <row r="42" spans="1:7">
      <c r="A42" s="110"/>
      <c r="B42" s="28">
        <f t="shared" si="1"/>
        <v>2019</v>
      </c>
      <c r="C42" s="32">
        <f>'Exhibit 1'!$C42/'Exhibit 1'!$B42</f>
        <v>9.0374574013916784E-2</v>
      </c>
      <c r="D42" s="29">
        <f>VALUE(LEFT(INDEX('Exhibit 2.5.1'!$B$32:$V$32,COUNT($B42:$B$43)),5))</f>
        <v>1.5680000000000001</v>
      </c>
      <c r="E42" s="29">
        <f ca="1">INDEX('Exhibit 2.5.1'!$B$33:$V$33,COUNT($B42:$B$43))</f>
        <v>2.8196137903891856</v>
      </c>
      <c r="F42" s="29">
        <f t="shared" ca="1" si="3"/>
        <v>0.25482139519018787</v>
      </c>
      <c r="G42" s="110"/>
    </row>
    <row r="43" spans="1:7">
      <c r="A43" s="110"/>
      <c r="B43" s="28">
        <f t="shared" si="1"/>
        <v>2020</v>
      </c>
      <c r="C43" s="32">
        <f>'Exhibit 1'!$C43/'Exhibit 1'!$B43</f>
        <v>3.2371831299065526E-2</v>
      </c>
      <c r="D43" s="29">
        <f>VALUE(LEFT(INDEX('Exhibit 2.5.1'!$B$32:$V$32,COUNT($B43:$B$43)),5))</f>
        <v>3.06</v>
      </c>
      <c r="E43" s="29">
        <f ca="1">INDEX('Exhibit 2.5.1'!$B$33:$V$33,COUNT($B43:$B$43))</f>
        <v>8.6284905983627507</v>
      </c>
      <c r="F43" s="29">
        <f t="shared" ca="1" si="3"/>
        <v>0.27932004201577193</v>
      </c>
      <c r="G43" s="110"/>
    </row>
    <row r="44" spans="1:7">
      <c r="A44" s="110"/>
      <c r="B44" s="28"/>
      <c r="C44" s="29"/>
      <c r="D44" s="29"/>
      <c r="E44" s="212"/>
      <c r="F44" s="29"/>
      <c r="G44" s="110"/>
    </row>
    <row r="45" spans="1:7" ht="12.75" customHeight="1">
      <c r="A45" s="110"/>
      <c r="B45" s="42" t="s">
        <v>22</v>
      </c>
      <c r="C45" s="216" t="s">
        <v>441</v>
      </c>
      <c r="D45" s="357"/>
      <c r="E45" s="357"/>
      <c r="F45" s="357"/>
      <c r="G45" s="110"/>
    </row>
    <row r="46" spans="1:7">
      <c r="A46" s="110"/>
      <c r="B46" s="42" t="s">
        <v>28</v>
      </c>
      <c r="C46" s="263" t="s">
        <v>304</v>
      </c>
      <c r="D46" s="332"/>
      <c r="E46" s="44"/>
      <c r="F46" s="44"/>
      <c r="G46" s="110"/>
    </row>
  </sheetData>
  <mergeCells count="4">
    <mergeCell ref="A1:G1"/>
    <mergeCell ref="D5:E5"/>
    <mergeCell ref="B2:F2"/>
    <mergeCell ref="B3:G3"/>
  </mergeCells>
  <printOptions horizontalCentered="1"/>
  <pageMargins left="0.5" right="0.5" top="0.75" bottom="0.75" header="0.33" footer="0.33"/>
  <pageSetup orientation="portrait" blackAndWhite="1" r:id="rId1"/>
  <headerFooter scaleWithDoc="0">
    <oddHeader>&amp;R&amp;"Arial,Regular"&amp;10Exhibit 3.1</oddHeader>
  </headerFooter>
  <ignoredErrors>
    <ignoredError sqref="C7:E7" numberStoredAsText="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pageSetUpPr fitToPage="1"/>
  </sheetPr>
  <dimension ref="A1:H50"/>
  <sheetViews>
    <sheetView zoomScaleNormal="100" zoomScaleSheetLayoutView="100" workbookViewId="0"/>
  </sheetViews>
  <sheetFormatPr defaultColWidth="9.1796875" defaultRowHeight="12.5"/>
  <cols>
    <col min="1" max="1" width="12.7265625" style="108" customWidth="1"/>
    <col min="2" max="3" width="15" style="110" customWidth="1"/>
    <col min="4" max="7" width="13.26953125" style="110" customWidth="1"/>
    <col min="8" max="8" width="5.7265625" style="108" customWidth="1"/>
    <col min="9" max="16384" width="9.1796875" style="108"/>
  </cols>
  <sheetData>
    <row r="1" spans="1:8" ht="13">
      <c r="A1" s="213" t="s">
        <v>49</v>
      </c>
      <c r="B1" s="213"/>
      <c r="C1" s="213"/>
      <c r="D1" s="213"/>
      <c r="E1" s="213"/>
      <c r="F1" s="213"/>
      <c r="G1" s="213"/>
      <c r="H1" s="328"/>
    </row>
    <row r="2" spans="1:8" ht="13">
      <c r="A2" s="213" t="s">
        <v>307</v>
      </c>
      <c r="B2" s="213"/>
      <c r="C2" s="213"/>
      <c r="D2" s="213"/>
      <c r="E2" s="213"/>
      <c r="F2" s="213"/>
      <c r="G2" s="213"/>
      <c r="H2" s="328"/>
    </row>
    <row r="3" spans="1:8" ht="13">
      <c r="A3" s="245" t="s">
        <v>525</v>
      </c>
      <c r="B3" s="213"/>
      <c r="C3" s="213"/>
      <c r="D3" s="213"/>
      <c r="E3" s="213"/>
      <c r="F3" s="213"/>
      <c r="G3" s="213"/>
      <c r="H3" s="328"/>
    </row>
    <row r="4" spans="1:8">
      <c r="A4" s="39"/>
      <c r="B4" s="38"/>
      <c r="C4" s="38"/>
      <c r="D4" s="38"/>
      <c r="E4" s="38"/>
      <c r="F4" s="38"/>
      <c r="G4" s="39"/>
      <c r="H4" s="110"/>
    </row>
    <row r="5" spans="1:8">
      <c r="A5" s="39"/>
      <c r="B5" s="40" t="s">
        <v>45</v>
      </c>
      <c r="C5" s="40" t="s">
        <v>46</v>
      </c>
      <c r="D5" s="40" t="s">
        <v>47</v>
      </c>
      <c r="E5" s="40" t="s">
        <v>48</v>
      </c>
      <c r="F5" s="40" t="s">
        <v>50</v>
      </c>
      <c r="G5" s="40" t="s">
        <v>51</v>
      </c>
      <c r="H5" s="110"/>
    </row>
    <row r="6" spans="1:8" ht="13">
      <c r="A6" s="39"/>
      <c r="B6" s="39"/>
      <c r="C6" s="527" t="s">
        <v>334</v>
      </c>
      <c r="D6" s="527"/>
      <c r="E6" s="527"/>
      <c r="F6" s="527"/>
      <c r="G6" s="527"/>
      <c r="H6" s="110"/>
    </row>
    <row r="7" spans="1:8">
      <c r="A7" s="110"/>
      <c r="D7" s="528" t="s">
        <v>44</v>
      </c>
      <c r="E7" s="528"/>
      <c r="H7" s="110"/>
    </row>
    <row r="8" spans="1:8">
      <c r="A8" s="39"/>
      <c r="B8" s="39"/>
      <c r="C8" s="39" t="s">
        <v>52</v>
      </c>
      <c r="E8" s="358"/>
      <c r="F8" s="39" t="s">
        <v>52</v>
      </c>
      <c r="G8" s="39" t="s">
        <v>53</v>
      </c>
      <c r="H8" s="110"/>
    </row>
    <row r="9" spans="1:8">
      <c r="A9" s="39" t="s">
        <v>54</v>
      </c>
      <c r="B9" s="39" t="s">
        <v>392</v>
      </c>
      <c r="C9" s="39" t="s">
        <v>392</v>
      </c>
      <c r="E9" s="356"/>
      <c r="F9" s="39" t="s">
        <v>346</v>
      </c>
      <c r="G9" s="39" t="s">
        <v>55</v>
      </c>
      <c r="H9" s="110"/>
    </row>
    <row r="10" spans="1:8">
      <c r="A10" s="41" t="s">
        <v>8</v>
      </c>
      <c r="B10" s="41" t="s">
        <v>359</v>
      </c>
      <c r="C10" s="41" t="s">
        <v>347</v>
      </c>
      <c r="D10" s="41" t="s">
        <v>374</v>
      </c>
      <c r="E10" s="41" t="s">
        <v>443</v>
      </c>
      <c r="F10" s="41" t="s">
        <v>348</v>
      </c>
      <c r="G10" s="41" t="s">
        <v>56</v>
      </c>
      <c r="H10" s="110"/>
    </row>
    <row r="11" spans="1:8">
      <c r="A11" s="39"/>
      <c r="B11" s="42"/>
      <c r="C11" s="39"/>
      <c r="D11" s="39"/>
      <c r="E11" s="39"/>
      <c r="F11" s="39" t="s">
        <v>394</v>
      </c>
      <c r="G11" s="39" t="s">
        <v>395</v>
      </c>
      <c r="H11" s="110"/>
    </row>
    <row r="12" spans="1:8">
      <c r="A12" s="28">
        <v>1987</v>
      </c>
      <c r="B12" s="32">
        <f>'Exhibit 1'!$E10/'Exhibit 1'!$B10</f>
        <v>0.30585265205221618</v>
      </c>
      <c r="C12" s="379">
        <v>0.27085325123830956</v>
      </c>
      <c r="D12" s="270">
        <f>INDEX('Exhibit 2.6.2'!$B$24:$P$24,COUNT($A12:$A$24))</f>
        <v>1.00202451310618</v>
      </c>
      <c r="E12" s="270">
        <f>INDEX('Exhibit 2.6.2'!$B$25:$P$25,COUNT($A12:$A$24))</f>
        <v>1.0538243266080807</v>
      </c>
      <c r="F12" s="32">
        <f t="shared" ref="F12:F45" si="0">C12*E12</f>
        <v>0.28543174509582087</v>
      </c>
      <c r="G12" s="32">
        <f t="shared" ref="G12:G45" si="1">B12+F12-C12</f>
        <v>0.32043114590972749</v>
      </c>
      <c r="H12" s="110"/>
    </row>
    <row r="13" spans="1:8">
      <c r="A13" s="28">
        <f t="shared" ref="A13:A40" si="2">+A12+1</f>
        <v>1988</v>
      </c>
      <c r="B13" s="32">
        <f>'Exhibit 1'!$E11/'Exhibit 1'!$B11</f>
        <v>0.29867843176395531</v>
      </c>
      <c r="C13" s="379">
        <v>0.26464088094259869</v>
      </c>
      <c r="D13" s="270">
        <f>INDEX('Exhibit 2.6.2'!$B$24:$P$24,COUNT($A13:$A$24))</f>
        <v>1.0022775772444525</v>
      </c>
      <c r="E13" s="270">
        <f>INDEX('Exhibit 2.6.2'!$B$25:$P$25,COUNT($A13:$A$24))</f>
        <v>1.0562244929140137</v>
      </c>
      <c r="F13" s="32">
        <f t="shared" ref="F13" si="3">C13*E13</f>
        <v>0.27952018027791414</v>
      </c>
      <c r="G13" s="32">
        <f t="shared" ref="G13" si="4">B13+F13-C13</f>
        <v>0.31355773109927071</v>
      </c>
      <c r="H13" s="110"/>
    </row>
    <row r="14" spans="1:8">
      <c r="A14" s="28">
        <f t="shared" si="2"/>
        <v>1989</v>
      </c>
      <c r="B14" s="32">
        <f>'Exhibit 1'!$E12/'Exhibit 1'!$B12</f>
        <v>0.31818896497268351</v>
      </c>
      <c r="C14" s="379">
        <v>0.28192082499074644</v>
      </c>
      <c r="D14" s="270">
        <f>INDEX('Exhibit 2.6.2'!$B$24:$P$24,COUNT($A14:$A$24))</f>
        <v>1.002</v>
      </c>
      <c r="E14" s="270">
        <f>INDEX('Exhibit 2.6.2'!$B$25:$P$25,COUNT($A14:$A$24))</f>
        <v>1.0583369418998416</v>
      </c>
      <c r="F14" s="32">
        <f t="shared" si="0"/>
        <v>0.29836722377858704</v>
      </c>
      <c r="G14" s="32">
        <f t="shared" si="1"/>
        <v>0.33463536376052405</v>
      </c>
      <c r="H14" s="110"/>
    </row>
    <row r="15" spans="1:8">
      <c r="A15" s="28">
        <f t="shared" si="2"/>
        <v>1990</v>
      </c>
      <c r="B15" s="32">
        <f>'Exhibit 1'!$E13/'Exhibit 1'!$B13</f>
        <v>0.35926648656409288</v>
      </c>
      <c r="C15" s="379">
        <v>0.31837344384953864</v>
      </c>
      <c r="D15" s="270">
        <f>INDEX('Exhibit 2.6.2'!$B$24:$P$24,COUNT($A15:$A$24))</f>
        <v>1.0030684989983385</v>
      </c>
      <c r="E15" s="270">
        <f>INDEX('Exhibit 2.6.2'!$B$25:$P$25,COUNT($A15:$A$24))</f>
        <v>1.0615844477459659</v>
      </c>
      <c r="F15" s="32">
        <f t="shared" si="0"/>
        <v>0.33798029656599377</v>
      </c>
      <c r="G15" s="32">
        <f t="shared" si="1"/>
        <v>0.37887333928054795</v>
      </c>
      <c r="H15" s="110"/>
    </row>
    <row r="16" spans="1:8">
      <c r="A16" s="28">
        <f t="shared" si="2"/>
        <v>1991</v>
      </c>
      <c r="B16" s="32">
        <f>'Exhibit 1'!$E14/'Exhibit 1'!$B14</f>
        <v>0.37628261777141198</v>
      </c>
      <c r="C16" s="379">
        <v>0.33369593735791975</v>
      </c>
      <c r="D16" s="270">
        <f>INDEX('Exhibit 2.6.2'!$B$24:$P$24,COUNT($A16:$A$24))</f>
        <v>1.002303535375819</v>
      </c>
      <c r="E16" s="270">
        <f>INDEX('Exhibit 2.6.2'!$B$25:$P$25,COUNT($A16:$A$24))</f>
        <v>1.0640298450757679</v>
      </c>
      <c r="F16" s="32">
        <f t="shared" si="0"/>
        <v>0.35506243652936048</v>
      </c>
      <c r="G16" s="32">
        <f t="shared" si="1"/>
        <v>0.39764911694285271</v>
      </c>
      <c r="H16" s="110"/>
    </row>
    <row r="17" spans="1:8">
      <c r="A17" s="28">
        <f t="shared" si="2"/>
        <v>1992</v>
      </c>
      <c r="B17" s="32">
        <f>'Exhibit 1'!$E15/'Exhibit 1'!$B15</f>
        <v>0.31124108601283013</v>
      </c>
      <c r="C17" s="379">
        <v>0.27623011766673333</v>
      </c>
      <c r="D17" s="270">
        <f>INDEX('Exhibit 2.6.2'!$B$24:$P$24,COUNT($A17:$A$24))</f>
        <v>1.0025787513543014</v>
      </c>
      <c r="E17" s="270">
        <f>INDEX('Exhibit 2.6.2'!$B$25:$P$25,COUNT($A17:$A$24))</f>
        <v>1.0667737134797741</v>
      </c>
      <c r="F17" s="32">
        <f t="shared" si="0"/>
        <v>0.29467502839829607</v>
      </c>
      <c r="G17" s="32">
        <f t="shared" si="1"/>
        <v>0.32968599674439292</v>
      </c>
      <c r="H17" s="110"/>
    </row>
    <row r="18" spans="1:8">
      <c r="A18" s="28">
        <f t="shared" si="2"/>
        <v>1993</v>
      </c>
      <c r="B18" s="32">
        <f>'Exhibit 1'!$E16/'Exhibit 1'!$B16</f>
        <v>0.25615414001112585</v>
      </c>
      <c r="C18" s="379">
        <v>0.22731832828904114</v>
      </c>
      <c r="D18" s="270">
        <f>INDEX('Exhibit 2.6.2'!$B$24:$P$24,COUNT($A18:$A$24))</f>
        <v>1.0022873959228085</v>
      </c>
      <c r="E18" s="270">
        <f>INDEX('Exhibit 2.6.2'!$B$25:$P$25,COUNT($A18:$A$24))</f>
        <v>1.069213847322547</v>
      </c>
      <c r="F18" s="32">
        <f t="shared" si="0"/>
        <v>0.24305190435685545</v>
      </c>
      <c r="G18" s="32">
        <f t="shared" si="1"/>
        <v>0.27188771607894019</v>
      </c>
      <c r="H18" s="110"/>
    </row>
    <row r="19" spans="1:8">
      <c r="A19" s="28">
        <f t="shared" si="2"/>
        <v>1994</v>
      </c>
      <c r="B19" s="32">
        <f>'Exhibit 1'!$E17/'Exhibit 1'!$B17</f>
        <v>0.29286250143961629</v>
      </c>
      <c r="C19" s="379">
        <v>0.26004007493226</v>
      </c>
      <c r="D19" s="270">
        <f>INDEX('Exhibit 2.6.2'!$B$24:$P$24,COUNT($A19:$A$24))</f>
        <v>1.0034843352204577</v>
      </c>
      <c r="E19" s="270">
        <f>INDEX('Exhibit 2.6.2'!$B$25:$P$25,COUNT($A19:$A$24))</f>
        <v>1.0729393467889741</v>
      </c>
      <c r="F19" s="32">
        <f t="shared" si="0"/>
        <v>0.27900722813677492</v>
      </c>
      <c r="G19" s="32">
        <f t="shared" si="1"/>
        <v>0.31182965464413126</v>
      </c>
      <c r="H19" s="110"/>
    </row>
    <row r="20" spans="1:8">
      <c r="A20" s="28">
        <f t="shared" si="2"/>
        <v>1995</v>
      </c>
      <c r="B20" s="32">
        <f>'Exhibit 1'!$E18/'Exhibit 1'!$B18</f>
        <v>0.43129130599684884</v>
      </c>
      <c r="C20" s="379">
        <v>0.38342016523675571</v>
      </c>
      <c r="D20" s="270">
        <f>INDEX('Exhibit 2.6.2'!$B$24:$P$24,COUNT($A20:$A$24))</f>
        <v>1.0043700983285111</v>
      </c>
      <c r="E20" s="270">
        <f>INDEX('Exhibit 2.6.2'!$B$25:$P$25,COUNT($A20:$A$24))</f>
        <v>1.0776281972349704</v>
      </c>
      <c r="F20" s="32">
        <f t="shared" si="0"/>
        <v>0.41318438144761949</v>
      </c>
      <c r="G20" s="32">
        <f t="shared" si="1"/>
        <v>0.46105552220771262</v>
      </c>
      <c r="H20" s="110"/>
    </row>
    <row r="21" spans="1:8">
      <c r="A21" s="28">
        <f t="shared" si="2"/>
        <v>1996</v>
      </c>
      <c r="B21" s="32">
        <f>'Exhibit 1'!$E19/'Exhibit 1'!$B19</f>
        <v>0.46132513192384239</v>
      </c>
      <c r="C21" s="379">
        <v>0.410050011959747</v>
      </c>
      <c r="D21" s="270">
        <f>INDEX('Exhibit 2.6.2'!$B$24:$P$24,COUNT($A21:$A$24))</f>
        <v>1.0040606541253829</v>
      </c>
      <c r="E21" s="270">
        <f>INDEX('Exhibit 2.6.2'!$B$25:$P$25,COUNT($A21:$A$24))</f>
        <v>1.0820040726197016</v>
      </c>
      <c r="F21" s="32">
        <f t="shared" si="0"/>
        <v>0.44367578291820359</v>
      </c>
      <c r="G21" s="32">
        <f t="shared" si="1"/>
        <v>0.49495090288229893</v>
      </c>
      <c r="H21" s="110"/>
    </row>
    <row r="22" spans="1:8">
      <c r="A22" s="28">
        <f t="shared" si="2"/>
        <v>1997</v>
      </c>
      <c r="B22" s="32">
        <f>'Exhibit 1'!$E20/'Exhibit 1'!$B20</f>
        <v>0.51619756794087313</v>
      </c>
      <c r="C22" s="379">
        <v>0.45891299818993714</v>
      </c>
      <c r="D22" s="270">
        <f>INDEX('Exhibit 2.6.2'!$B$24:$P$24,COUNT($A22:$A$24))</f>
        <v>1.0051993761554305</v>
      </c>
      <c r="E22" s="270">
        <f>INDEX('Exhibit 2.6.2'!$B$25:$P$25,COUNT($A22:$A$24))</f>
        <v>1.0876298187949591</v>
      </c>
      <c r="F22" s="32">
        <f t="shared" si="0"/>
        <v>0.49912746106397271</v>
      </c>
      <c r="G22" s="32">
        <f t="shared" si="1"/>
        <v>0.55641203081490875</v>
      </c>
      <c r="H22" s="110"/>
    </row>
    <row r="23" spans="1:8">
      <c r="A23" s="28">
        <f t="shared" si="2"/>
        <v>1998</v>
      </c>
      <c r="B23" s="32">
        <f>'Exhibit 1'!$E21/'Exhibit 1'!$B21</f>
        <v>0.61488125534963245</v>
      </c>
      <c r="C23" s="379">
        <v>0.54760030978371566</v>
      </c>
      <c r="D23" s="270">
        <f>INDEX('Exhibit 2.6.2'!$B$24:$P$24,COUNT($A23:$A$24))</f>
        <v>1.0053965913767617</v>
      </c>
      <c r="E23" s="270">
        <f>INDEX('Exhibit 2.6.2'!$B$25:$P$25,COUNT($A23:$A$24))</f>
        <v>1.0934993124961769</v>
      </c>
      <c r="F23" s="32">
        <f t="shared" si="0"/>
        <v>0.59880056227118661</v>
      </c>
      <c r="G23" s="32">
        <f t="shared" si="1"/>
        <v>0.6660815078371034</v>
      </c>
      <c r="H23" s="110"/>
    </row>
    <row r="24" spans="1:8">
      <c r="A24" s="28">
        <f t="shared" si="2"/>
        <v>1999</v>
      </c>
      <c r="B24" s="32">
        <f>'Exhibit 1'!$E22/'Exhibit 1'!$B22</f>
        <v>0.67156647285117976</v>
      </c>
      <c r="C24" s="379">
        <v>0.59887524855839802</v>
      </c>
      <c r="D24" s="270">
        <f>INDEX('Exhibit 2.6.2'!$B$24:$P$24,COUNT($A24:$A$24))</f>
        <v>1.0086666666666666</v>
      </c>
      <c r="E24" s="270">
        <f>INDEX('Exhibit 2.6.2'!$B$25:$P$25,COUNT($A24:$A$24))</f>
        <v>1.1029763065378104</v>
      </c>
      <c r="F24" s="32">
        <f t="shared" si="0"/>
        <v>0.66054520973185504</v>
      </c>
      <c r="G24" s="32">
        <f t="shared" si="1"/>
        <v>0.73323643402463679</v>
      </c>
      <c r="H24" s="110"/>
    </row>
    <row r="25" spans="1:8">
      <c r="A25" s="28">
        <f t="shared" si="2"/>
        <v>2000</v>
      </c>
      <c r="B25" s="32">
        <f>'Exhibit 1'!$E23/'Exhibit 1'!$B23</f>
        <v>0.60460067665529371</v>
      </c>
      <c r="C25" s="379">
        <v>0.53964894971545707</v>
      </c>
      <c r="D25" s="32">
        <f>INDEX('Exhibit 2.6.1'!$B$29:$V$29,COUNT($B25:$B$45))</f>
        <v>1.008</v>
      </c>
      <c r="E25" s="32">
        <f>INDEX('Exhibit 2.6.1'!$B$32:$V$32,COUNT($B25:$B$45))</f>
        <v>1.1118001169901128</v>
      </c>
      <c r="F25" s="32">
        <f t="shared" si="0"/>
        <v>0.59998176542723669</v>
      </c>
      <c r="G25" s="32">
        <f t="shared" si="1"/>
        <v>0.66493349236707333</v>
      </c>
      <c r="H25" s="110"/>
    </row>
    <row r="26" spans="1:8">
      <c r="A26" s="28">
        <f t="shared" si="2"/>
        <v>2001</v>
      </c>
      <c r="B26" s="32">
        <f>'Exhibit 1'!$E24/'Exhibit 1'!$B24</f>
        <v>0.53472817035246534</v>
      </c>
      <c r="C26" s="379">
        <v>0.47937605148302931</v>
      </c>
      <c r="D26" s="32">
        <f>INDEX('Exhibit 2.6.1'!$B$29:$V$29,COUNT($B26:$B$45))</f>
        <v>1.008</v>
      </c>
      <c r="E26" s="32">
        <f>INDEX('Exhibit 2.6.1'!$B$32:$V$32,COUNT($B26:$B$45))</f>
        <v>1.1206945179260337</v>
      </c>
      <c r="F26" s="32">
        <f t="shared" si="0"/>
        <v>0.53723411292205903</v>
      </c>
      <c r="G26" s="32">
        <f t="shared" si="1"/>
        <v>0.59258623179149505</v>
      </c>
      <c r="H26" s="110"/>
    </row>
    <row r="27" spans="1:8">
      <c r="A27" s="28">
        <f t="shared" si="2"/>
        <v>2002</v>
      </c>
      <c r="B27" s="32">
        <f>'Exhibit 1'!$E25/'Exhibit 1'!$B25</f>
        <v>0.41132845013153757</v>
      </c>
      <c r="C27" s="379">
        <v>0.36987894984421726</v>
      </c>
      <c r="D27" s="32">
        <f>INDEX('Exhibit 2.6.1'!$B$29:$V$29,COUNT($B27:$B$45))</f>
        <v>1.0090000000000001</v>
      </c>
      <c r="E27" s="32">
        <f>INDEX('Exhibit 2.6.1'!$B$32:$V$32,COUNT($B27:$B$45))</f>
        <v>1.1307807685873681</v>
      </c>
      <c r="F27" s="32">
        <f t="shared" si="0"/>
        <v>0.41825200318913258</v>
      </c>
      <c r="G27" s="32">
        <f t="shared" si="1"/>
        <v>0.45970150347645283</v>
      </c>
      <c r="H27" s="110"/>
    </row>
    <row r="28" spans="1:8">
      <c r="A28" s="28">
        <f t="shared" si="2"/>
        <v>2003</v>
      </c>
      <c r="B28" s="29">
        <f>'Exhibit 1'!$E26/'Exhibit 1'!$B26</f>
        <v>0.26213541039466931</v>
      </c>
      <c r="C28" s="262">
        <v>0.23645585120168328</v>
      </c>
      <c r="D28" s="29">
        <f>INDEX('Exhibit 2.6.1'!$B$29:$V$29,COUNT($B28:$B$45))</f>
        <v>1.0096666666666665</v>
      </c>
      <c r="E28" s="29">
        <f>INDEX('Exhibit 2.6.1'!$B$32:$V$32,COUNT($B28:$B$45))</f>
        <v>1.1417116493503792</v>
      </c>
      <c r="F28" s="29">
        <f t="shared" si="0"/>
        <v>0.26996439987402165</v>
      </c>
      <c r="G28" s="29">
        <f t="shared" si="1"/>
        <v>0.29564395906700763</v>
      </c>
      <c r="H28" s="110"/>
    </row>
    <row r="29" spans="1:8">
      <c r="A29" s="28">
        <f t="shared" si="2"/>
        <v>2004</v>
      </c>
      <c r="B29" s="29">
        <f>'Exhibit 1'!$E27/'Exhibit 1'!$B27</f>
        <v>0.17700315563673802</v>
      </c>
      <c r="C29" s="262">
        <v>0.16002006133875096</v>
      </c>
      <c r="D29" s="29">
        <f>INDEX('Exhibit 2.6.1'!$B$29:$V$29,COUNT($B29:$B$45))</f>
        <v>1.0109999999999999</v>
      </c>
      <c r="E29" s="29">
        <f>INDEX('Exhibit 2.6.1'!$B$32:$V$32,COUNT($B29:$B$45))</f>
        <v>1.1542704774932333</v>
      </c>
      <c r="F29" s="29">
        <f t="shared" si="0"/>
        <v>0.18470643260997655</v>
      </c>
      <c r="G29" s="29">
        <f t="shared" si="1"/>
        <v>0.2016895269079636</v>
      </c>
      <c r="H29" s="110"/>
    </row>
    <row r="30" spans="1:8">
      <c r="A30" s="28">
        <f t="shared" si="2"/>
        <v>2005</v>
      </c>
      <c r="B30" s="29">
        <f>'Exhibit 1'!$E28/'Exhibit 1'!$B28</f>
        <v>0.17246505851161467</v>
      </c>
      <c r="C30" s="262">
        <v>0.15617309026268006</v>
      </c>
      <c r="D30" s="29">
        <f>INDEX('Exhibit 2.6.1'!$B$29:$V$29,COUNT($B30:$B$45))</f>
        <v>1.0106666666666666</v>
      </c>
      <c r="E30" s="29">
        <f>INDEX('Exhibit 2.6.1'!$B$32:$V$32,COUNT($B30:$B$45))</f>
        <v>1.1665826959198278</v>
      </c>
      <c r="F30" s="29">
        <f t="shared" si="0"/>
        <v>0.1821888246687679</v>
      </c>
      <c r="G30" s="29">
        <f t="shared" si="1"/>
        <v>0.19848079291770254</v>
      </c>
      <c r="H30" s="110"/>
    </row>
    <row r="31" spans="1:8">
      <c r="A31" s="28">
        <f t="shared" si="2"/>
        <v>2006</v>
      </c>
      <c r="B31" s="29">
        <f>'Exhibit 1'!$E29/'Exhibit 1'!$B29</f>
        <v>0.2200989902574701</v>
      </c>
      <c r="C31" s="262">
        <v>0.20001814649754698</v>
      </c>
      <c r="D31" s="29">
        <f>INDEX('Exhibit 2.6.1'!$B$29:$V$29,COUNT($B31:$B$45))</f>
        <v>1.0133333333333334</v>
      </c>
      <c r="E31" s="29">
        <f>INDEX('Exhibit 2.6.1'!$B$32:$V$32,COUNT($B31:$B$45))</f>
        <v>1.1821371318654257</v>
      </c>
      <c r="F31" s="29">
        <f t="shared" si="0"/>
        <v>0.23644887802164874</v>
      </c>
      <c r="G31" s="29">
        <f t="shared" si="1"/>
        <v>0.25652972178157185</v>
      </c>
      <c r="H31" s="110"/>
    </row>
    <row r="32" spans="1:8">
      <c r="A32" s="28">
        <f t="shared" si="2"/>
        <v>2007</v>
      </c>
      <c r="B32" s="29">
        <f>'Exhibit 1'!$E30/'Exhibit 1'!$B30</f>
        <v>0.30643956403098555</v>
      </c>
      <c r="C32" s="262">
        <v>0.27959710645868052</v>
      </c>
      <c r="D32" s="29">
        <f>INDEX('Exhibit 2.6.1'!$B$29:$V$29,COUNT($B32:$B$45))</f>
        <v>1.0133333333333332</v>
      </c>
      <c r="E32" s="29">
        <f>INDEX('Exhibit 2.6.1'!$B$32:$V$32,COUNT($B32:$B$45))</f>
        <v>1.1978989602902979</v>
      </c>
      <c r="F32" s="29">
        <f t="shared" si="0"/>
        <v>0.33492908312702913</v>
      </c>
      <c r="G32" s="29">
        <f t="shared" si="1"/>
        <v>0.36177154069933415</v>
      </c>
      <c r="H32" s="110"/>
    </row>
    <row r="33" spans="1:8">
      <c r="A33" s="28">
        <f t="shared" si="2"/>
        <v>2008</v>
      </c>
      <c r="B33" s="29">
        <f>'Exhibit 1'!$E31/'Exhibit 1'!$B31</f>
        <v>0.37730203384923089</v>
      </c>
      <c r="C33" s="262">
        <v>0.34590357716587844</v>
      </c>
      <c r="D33" s="29">
        <f>INDEX('Exhibit 2.6.1'!$B$29:$V$29,COUNT($B33:$B$45))</f>
        <v>1.0153333333333334</v>
      </c>
      <c r="E33" s="29">
        <f>INDEX('Exhibit 2.6.1'!$B$32:$V$32,COUNT($B33:$B$45))</f>
        <v>1.2162667443480826</v>
      </c>
      <c r="F33" s="29">
        <f t="shared" si="0"/>
        <v>0.4207110176578987</v>
      </c>
      <c r="G33" s="29">
        <f t="shared" si="1"/>
        <v>0.45210947434125109</v>
      </c>
      <c r="H33" s="110"/>
    </row>
    <row r="34" spans="1:8">
      <c r="A34" s="28">
        <f t="shared" si="2"/>
        <v>2009</v>
      </c>
      <c r="B34" s="29">
        <f>'Exhibit 1'!$E32/'Exhibit 1'!$B32</f>
        <v>0.43431580538773751</v>
      </c>
      <c r="C34" s="262">
        <v>0.40097898792878806</v>
      </c>
      <c r="D34" s="29">
        <f>INDEX('Exhibit 2.6.1'!$B$29:$V$29,COUNT($B34:$B$45))</f>
        <v>1.0153333333333332</v>
      </c>
      <c r="E34" s="29">
        <f>INDEX('Exhibit 2.6.1'!$B$32:$V$32,COUNT($B34:$B$45))</f>
        <v>1.2349161677614198</v>
      </c>
      <c r="F34" s="29">
        <f t="shared" si="0"/>
        <v>0.49517543512587153</v>
      </c>
      <c r="G34" s="29">
        <f t="shared" si="1"/>
        <v>0.52851225258482104</v>
      </c>
      <c r="H34" s="110"/>
    </row>
    <row r="35" spans="1:8">
      <c r="A35" s="494">
        <f t="shared" si="2"/>
        <v>2010</v>
      </c>
      <c r="B35" s="37">
        <f>'Exhibit 1'!$E33/'Exhibit 1'!$B33</f>
        <v>0.42256089075843428</v>
      </c>
      <c r="C35" s="380">
        <v>0.39203687046865898</v>
      </c>
      <c r="D35" s="37">
        <f>INDEX('Exhibit 2.6.1'!$B$29:$V$29,COUNT($B35:$B$45))</f>
        <v>1.018</v>
      </c>
      <c r="E35" s="37">
        <f>INDEX('Exhibit 2.6.1'!$B$32:$V$32,COUNT($B35:$B$45))</f>
        <v>1.2571446587811252</v>
      </c>
      <c r="F35" s="37">
        <f t="shared" si="0"/>
        <v>0.49284705775494247</v>
      </c>
      <c r="G35" s="37">
        <f t="shared" si="1"/>
        <v>0.52337107804471783</v>
      </c>
      <c r="H35" s="110"/>
    </row>
    <row r="36" spans="1:8">
      <c r="A36" s="28">
        <f t="shared" si="2"/>
        <v>2011</v>
      </c>
      <c r="B36" s="29">
        <f>'Exhibit 1'!$E34/'Exhibit 1'!$B34</f>
        <v>0.35485888025395235</v>
      </c>
      <c r="C36" s="262">
        <v>0.33283389432796384</v>
      </c>
      <c r="D36" s="29">
        <f>INDEX('Exhibit 2.6.1'!$B$29:$V$29,COUNT($B36:$B$45))</f>
        <v>1.0199999999999998</v>
      </c>
      <c r="E36" s="29">
        <f>INDEX('Exhibit 2.6.1'!$B$32:$V$32,COUNT($B36:$B$45))</f>
        <v>1.2822875519567476</v>
      </c>
      <c r="F36" s="29">
        <f t="shared" si="0"/>
        <v>0.42678875956603557</v>
      </c>
      <c r="G36" s="29">
        <f t="shared" si="1"/>
        <v>0.44881374549202402</v>
      </c>
      <c r="H36" s="110"/>
    </row>
    <row r="37" spans="1:8">
      <c r="A37" s="28">
        <f t="shared" si="2"/>
        <v>2012</v>
      </c>
      <c r="B37" s="29">
        <f>'Exhibit 1'!$E35/'Exhibit 1'!$B35</f>
        <v>0.2984788557042124</v>
      </c>
      <c r="C37" s="262">
        <v>0.28247301173651285</v>
      </c>
      <c r="D37" s="29">
        <f>INDEX('Exhibit 2.6.1'!$B$29:$V$29,COUNT($B37:$B$45))</f>
        <v>1.024</v>
      </c>
      <c r="E37" s="29">
        <f>INDEX('Exhibit 2.6.1'!$B$32:$V$32,COUNT($B37:$B$45))</f>
        <v>1.3130624532037096</v>
      </c>
      <c r="F37" s="29">
        <f t="shared" si="0"/>
        <v>0.37090470575458584</v>
      </c>
      <c r="G37" s="29">
        <f t="shared" si="1"/>
        <v>0.38691054972228534</v>
      </c>
      <c r="H37" s="110"/>
    </row>
    <row r="38" spans="1:8">
      <c r="A38" s="28">
        <f t="shared" si="2"/>
        <v>2013</v>
      </c>
      <c r="B38" s="29">
        <f>'Exhibit 1'!$E36/'Exhibit 1'!$B36</f>
        <v>0.2351168128920017</v>
      </c>
      <c r="C38" s="262">
        <v>0.22469345325583578</v>
      </c>
      <c r="D38" s="29">
        <f>INDEX('Exhibit 2.6.1'!$B$29:$V$29,COUNT($B38:$B$45))</f>
        <v>1.028</v>
      </c>
      <c r="E38" s="29">
        <f>INDEX('Exhibit 2.6.1'!$B$32:$V$32,COUNT($B38:$B$45))</f>
        <v>1.3498282018934136</v>
      </c>
      <c r="F38" s="29">
        <f t="shared" si="0"/>
        <v>0.30329755998554658</v>
      </c>
      <c r="G38" s="29">
        <f t="shared" si="1"/>
        <v>0.31372091962171256</v>
      </c>
      <c r="H38" s="110"/>
    </row>
    <row r="39" spans="1:8">
      <c r="A39" s="28">
        <f t="shared" si="2"/>
        <v>2014</v>
      </c>
      <c r="B39" s="29">
        <f>'Exhibit 1'!$E37/'Exhibit 1'!$B37</f>
        <v>0.20300191385197347</v>
      </c>
      <c r="C39" s="262">
        <v>0.19718934696290816</v>
      </c>
      <c r="D39" s="29">
        <f>INDEX('Exhibit 2.6.1'!$B$29:$V$29,COUNT($B39:$B$45))</f>
        <v>1.0369999999999999</v>
      </c>
      <c r="E39" s="29">
        <f>INDEX('Exhibit 2.6.1'!$B$32:$V$32,COUNT($B39:$B$45))</f>
        <v>1.3997718453634698</v>
      </c>
      <c r="F39" s="29">
        <f t="shared" si="0"/>
        <v>0.27602009608428746</v>
      </c>
      <c r="G39" s="29">
        <f t="shared" si="1"/>
        <v>0.28183266297335274</v>
      </c>
      <c r="H39" s="110"/>
    </row>
    <row r="40" spans="1:8">
      <c r="A40" s="28">
        <f t="shared" si="2"/>
        <v>2015</v>
      </c>
      <c r="B40" s="29">
        <f>'Exhibit 1'!$E38/'Exhibit 1'!$B38</f>
        <v>0.18345869678454574</v>
      </c>
      <c r="C40" s="262">
        <v>0.18046907484912045</v>
      </c>
      <c r="D40" s="253">
        <f>VALUE(LEFT(INDEX('Exhibit 2.6.1'!$B$29:$V$29,COUNT($B40:$B$45)),5))</f>
        <v>1.0429999999999999</v>
      </c>
      <c r="E40" s="253">
        <f>INDEX('Exhibit 2.6.1'!$B$35:$V$35,COUNT($B40:$B$45))</f>
        <v>1.4436339904915354</v>
      </c>
      <c r="F40" s="29">
        <f t="shared" si="0"/>
        <v>0.26053129068475134</v>
      </c>
      <c r="G40" s="29">
        <f t="shared" si="1"/>
        <v>0.26352091262017663</v>
      </c>
      <c r="H40" s="110"/>
    </row>
    <row r="41" spans="1:8">
      <c r="A41" s="28">
        <f>+A40+1</f>
        <v>2016</v>
      </c>
      <c r="B41" s="29">
        <f>'Exhibit 1'!$E39/'Exhibit 1'!$B39</f>
        <v>0.16298859477102456</v>
      </c>
      <c r="C41" s="262">
        <v>0.16167847154350629</v>
      </c>
      <c r="D41" s="253">
        <f>VALUE(LEFT(INDEX('Exhibit 2.6.1'!$B$29:$V$29,COUNT($B41:$B$45)),5))</f>
        <v>1.0649999999999999</v>
      </c>
      <c r="E41" s="253">
        <f>INDEX('Exhibit 2.6.1'!$B$35:$V$35,COUNT($B41:$B$45))</f>
        <v>1.5243991706685747</v>
      </c>
      <c r="F41" s="29">
        <f t="shared" si="0"/>
        <v>0.24646252793588372</v>
      </c>
      <c r="G41" s="29">
        <f t="shared" si="1"/>
        <v>0.24777265116340202</v>
      </c>
      <c r="H41" s="110"/>
    </row>
    <row r="42" spans="1:8">
      <c r="A42" s="28">
        <f>+A41+1</f>
        <v>2017</v>
      </c>
      <c r="B42" s="29">
        <f>'Exhibit 1'!$E40/'Exhibit 1'!$B40</f>
        <v>0.15182089871232826</v>
      </c>
      <c r="C42" s="262">
        <v>0.15143880962199099</v>
      </c>
      <c r="D42" s="253">
        <f>VALUE(LEFT(INDEX('Exhibit 2.6.1'!$B$29:$V$29,COUNT($B42:$B$45)),5))</f>
        <v>1.1020000000000001</v>
      </c>
      <c r="E42" s="253">
        <f>INDEX('Exhibit 2.6.1'!$B$35:$V$35,COUNT($B42:$B$45))</f>
        <v>1.6583007376326018</v>
      </c>
      <c r="F42" s="29">
        <f t="shared" si="0"/>
        <v>0.25113108970235082</v>
      </c>
      <c r="G42" s="29">
        <f t="shared" si="1"/>
        <v>0.25151317879268809</v>
      </c>
      <c r="H42" s="110"/>
    </row>
    <row r="43" spans="1:8">
      <c r="A43" s="28">
        <f>+A42+1</f>
        <v>2018</v>
      </c>
      <c r="B43" s="29">
        <f>'Exhibit 1'!$E41/'Exhibit 1'!$B41</f>
        <v>0.13779530019411704</v>
      </c>
      <c r="C43" s="262">
        <v>0.13779530019411704</v>
      </c>
      <c r="D43" s="253">
        <f>VALUE(LEFT(INDEX('Exhibit 2.6.1'!$B$29:$V$29,COUNT($B43:$B$45)),5))</f>
        <v>1.1950000000000001</v>
      </c>
      <c r="E43" s="253">
        <f>INDEX('Exhibit 2.6.1'!$B$35:$V$35,COUNT($B43:$B$45))</f>
        <v>1.9810854600417185</v>
      </c>
      <c r="F43" s="29">
        <f t="shared" si="0"/>
        <v>0.27298426567664907</v>
      </c>
      <c r="G43" s="29">
        <f t="shared" si="1"/>
        <v>0.27298426567664913</v>
      </c>
      <c r="H43" s="110"/>
    </row>
    <row r="44" spans="1:8">
      <c r="A44" s="28">
        <f>+A43+1</f>
        <v>2019</v>
      </c>
      <c r="B44" s="29">
        <f>'Exhibit 1'!$E42/'Exhibit 1'!$B42</f>
        <v>0.10647321989829557</v>
      </c>
      <c r="C44" s="262">
        <v>0.10647321989829557</v>
      </c>
      <c r="D44" s="253">
        <f>VALUE(LEFT(INDEX('Exhibit 2.6.1'!$B$29:$V$29,COUNT($B44:$B$45)),5))</f>
        <v>1.395</v>
      </c>
      <c r="E44" s="253">
        <f>INDEX('Exhibit 2.6.1'!$B$35:$V$35,COUNT($B44:$B$45))</f>
        <v>2.7632218737975598</v>
      </c>
      <c r="F44" s="29">
        <f t="shared" si="0"/>
        <v>0.29420913019662792</v>
      </c>
      <c r="G44" s="29">
        <f t="shared" si="1"/>
        <v>0.29420913019662792</v>
      </c>
      <c r="H44" s="110"/>
    </row>
    <row r="45" spans="1:8">
      <c r="A45" s="28">
        <f>+A44+1</f>
        <v>2020</v>
      </c>
      <c r="B45" s="29">
        <f>'Exhibit 1'!$E43/'Exhibit 1'!$B43</f>
        <v>4.4036590203397556E-2</v>
      </c>
      <c r="C45" s="262">
        <v>4.4036590203397556E-2</v>
      </c>
      <c r="D45" s="253">
        <f>VALUE(LEFT(INDEX('Exhibit 2.6.1'!$B$29:$V$29,COUNT($B45:$B$45)),5))</f>
        <v>2.3479999999999999</v>
      </c>
      <c r="E45" s="253">
        <f>INDEX('Exhibit 2.6.1'!$B$35:$V$35,COUNT($B45:$B$45))</f>
        <v>6.4887262335134972</v>
      </c>
      <c r="F45" s="29">
        <f t="shared" si="0"/>
        <v>0.28574137808726918</v>
      </c>
      <c r="G45" s="29">
        <f t="shared" si="1"/>
        <v>0.28574137808726918</v>
      </c>
      <c r="H45" s="110"/>
    </row>
    <row r="46" spans="1:8">
      <c r="A46" s="28"/>
      <c r="B46" s="29"/>
      <c r="C46" s="29"/>
      <c r="D46" s="29"/>
      <c r="E46" s="43"/>
      <c r="F46" s="29"/>
      <c r="G46" s="44"/>
      <c r="H46" s="110"/>
    </row>
    <row r="47" spans="1:8" ht="12.75" customHeight="1">
      <c r="A47" s="42" t="s">
        <v>22</v>
      </c>
      <c r="B47" s="263" t="s">
        <v>442</v>
      </c>
      <c r="C47" s="263"/>
      <c r="D47" s="263"/>
      <c r="E47" s="263"/>
      <c r="F47" s="263"/>
      <c r="G47" s="263"/>
      <c r="H47" s="263"/>
    </row>
    <row r="48" spans="1:8" ht="28" customHeight="1">
      <c r="A48" s="42" t="s">
        <v>28</v>
      </c>
      <c r="B48" s="514" t="s">
        <v>526</v>
      </c>
      <c r="C48" s="514"/>
      <c r="D48" s="514"/>
      <c r="E48" s="514"/>
      <c r="F48" s="514"/>
      <c r="G48" s="514"/>
      <c r="H48" s="514"/>
    </row>
    <row r="49" spans="1:8" ht="12.75" customHeight="1">
      <c r="A49" s="42" t="s">
        <v>38</v>
      </c>
      <c r="B49" s="263" t="s">
        <v>335</v>
      </c>
      <c r="C49" s="263"/>
      <c r="D49" s="263"/>
      <c r="E49" s="263"/>
      <c r="F49" s="263"/>
      <c r="G49" s="263"/>
      <c r="H49" s="221"/>
    </row>
    <row r="50" spans="1:8" ht="41.25" customHeight="1">
      <c r="A50" s="42" t="s">
        <v>57</v>
      </c>
      <c r="B50" s="526" t="s">
        <v>353</v>
      </c>
      <c r="C50" s="526"/>
      <c r="D50" s="526"/>
      <c r="E50" s="526"/>
      <c r="F50" s="526"/>
      <c r="G50" s="526"/>
      <c r="H50" s="526"/>
    </row>
  </sheetData>
  <mergeCells count="4">
    <mergeCell ref="B50:H50"/>
    <mergeCell ref="C6:G6"/>
    <mergeCell ref="D7:E7"/>
    <mergeCell ref="B48:H48"/>
  </mergeCells>
  <printOptions horizontalCentered="1"/>
  <pageMargins left="0.5" right="0.5" top="0.75" bottom="0.75" header="0.33" footer="0.33"/>
  <pageSetup scale="95" orientation="portrait" blackAndWhite="1" horizontalDpi="1200" verticalDpi="1200" r:id="rId1"/>
  <headerFooter scaleWithDoc="0">
    <oddHeader>&amp;R&amp;"Arial,Regular"&amp;10Exhibit 3.2</oddHeader>
  </headerFooter>
  <ignoredErrors>
    <ignoredError sqref="B5:C5" numberStoredAsText="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dimension ref="A1:M58"/>
  <sheetViews>
    <sheetView zoomScaleNormal="100" workbookViewId="0">
      <selection sqref="A1:M1"/>
    </sheetView>
  </sheetViews>
  <sheetFormatPr defaultColWidth="9.1796875" defaultRowHeight="12.5"/>
  <cols>
    <col min="1" max="1" width="3.54296875" style="174" customWidth="1"/>
    <col min="2" max="2" width="9" style="174" customWidth="1"/>
    <col min="3" max="3" width="9.1796875" style="174"/>
    <col min="4" max="4" width="6.81640625" style="174" customWidth="1"/>
    <col min="5" max="5" width="11" style="174" customWidth="1"/>
    <col min="6" max="6" width="6.453125" style="174" customWidth="1"/>
    <col min="7" max="7" width="9.1796875" style="174"/>
    <col min="8" max="8" width="6.81640625" style="174" customWidth="1"/>
    <col min="9" max="9" width="11" style="174" bestFit="1" customWidth="1"/>
    <col min="10" max="10" width="6.453125" style="174" customWidth="1"/>
    <col min="11" max="11" width="9.1796875" style="174"/>
    <col min="12" max="12" width="10.453125" style="174" customWidth="1"/>
    <col min="13" max="13" width="3.1796875" style="174" customWidth="1"/>
    <col min="14" max="16384" width="9.1796875" style="174"/>
  </cols>
  <sheetData>
    <row r="1" spans="1:13" ht="13">
      <c r="A1" s="532" t="s">
        <v>60</v>
      </c>
      <c r="B1" s="532"/>
      <c r="C1" s="532"/>
      <c r="D1" s="532"/>
      <c r="E1" s="532"/>
      <c r="F1" s="532"/>
      <c r="G1" s="532"/>
      <c r="H1" s="532"/>
      <c r="I1" s="532"/>
      <c r="J1" s="532"/>
      <c r="K1" s="532"/>
      <c r="L1" s="532"/>
      <c r="M1" s="532"/>
    </row>
    <row r="2" spans="1:13" ht="13">
      <c r="A2" s="177"/>
      <c r="B2" s="178"/>
      <c r="C2" s="178"/>
      <c r="D2" s="178"/>
      <c r="E2" s="178"/>
      <c r="F2" s="178"/>
      <c r="G2" s="178"/>
      <c r="H2" s="178"/>
      <c r="I2" s="178"/>
      <c r="J2" s="177"/>
      <c r="K2" s="178"/>
      <c r="L2" s="178"/>
      <c r="M2" s="178"/>
    </row>
    <row r="3" spans="1:13">
      <c r="A3" s="177"/>
      <c r="B3" s="177"/>
      <c r="C3" s="177"/>
      <c r="D3" s="27" t="s">
        <v>45</v>
      </c>
      <c r="E3" s="27"/>
      <c r="F3" s="27" t="s">
        <v>46</v>
      </c>
      <c r="G3" s="177"/>
      <c r="H3" s="27" t="s">
        <v>47</v>
      </c>
      <c r="I3" s="177"/>
      <c r="J3" s="27" t="s">
        <v>48</v>
      </c>
      <c r="K3" s="177"/>
      <c r="L3" s="45" t="s">
        <v>50</v>
      </c>
      <c r="M3" s="177"/>
    </row>
    <row r="4" spans="1:13">
      <c r="A4" s="177"/>
      <c r="B4" s="177"/>
      <c r="C4" s="177"/>
      <c r="D4" s="177" t="s">
        <v>61</v>
      </c>
      <c r="E4" s="177"/>
      <c r="F4" s="27"/>
      <c r="G4" s="27"/>
      <c r="H4" s="177" t="s">
        <v>62</v>
      </c>
      <c r="I4" s="27"/>
      <c r="J4" s="177" t="s">
        <v>63</v>
      </c>
      <c r="K4" s="27"/>
      <c r="L4" s="30" t="s">
        <v>64</v>
      </c>
      <c r="M4" s="177"/>
    </row>
    <row r="5" spans="1:13">
      <c r="A5" s="177"/>
      <c r="B5" s="177"/>
      <c r="C5" s="177"/>
      <c r="D5" s="177" t="s">
        <v>65</v>
      </c>
      <c r="E5" s="177"/>
      <c r="F5" s="177"/>
      <c r="G5" s="177"/>
      <c r="H5" s="177" t="s">
        <v>66</v>
      </c>
      <c r="I5" s="177"/>
      <c r="J5" s="177" t="s">
        <v>67</v>
      </c>
      <c r="K5" s="177"/>
      <c r="L5" s="30" t="s">
        <v>3</v>
      </c>
      <c r="M5" s="177"/>
    </row>
    <row r="6" spans="1:13">
      <c r="A6" s="177"/>
      <c r="B6" s="177" t="s">
        <v>54</v>
      </c>
      <c r="C6" s="39"/>
      <c r="D6" s="39" t="s">
        <v>68</v>
      </c>
      <c r="E6" s="39"/>
      <c r="F6" s="39" t="s">
        <v>68</v>
      </c>
      <c r="G6" s="39"/>
      <c r="H6" s="39" t="s">
        <v>69</v>
      </c>
      <c r="I6" s="39"/>
      <c r="J6" s="39" t="s">
        <v>70</v>
      </c>
      <c r="K6" s="39"/>
      <c r="L6" s="39" t="s">
        <v>71</v>
      </c>
      <c r="M6" s="39"/>
    </row>
    <row r="7" spans="1:13">
      <c r="A7" s="26"/>
      <c r="B7" s="26" t="s">
        <v>8</v>
      </c>
      <c r="C7" s="26"/>
      <c r="D7" s="26" t="s">
        <v>72</v>
      </c>
      <c r="E7" s="26"/>
      <c r="F7" s="26" t="s">
        <v>72</v>
      </c>
      <c r="G7" s="26"/>
      <c r="H7" s="26" t="s">
        <v>73</v>
      </c>
      <c r="I7" s="26"/>
      <c r="J7" s="26" t="s">
        <v>74</v>
      </c>
      <c r="K7" s="26"/>
      <c r="L7" s="46" t="s">
        <v>75</v>
      </c>
      <c r="M7" s="26"/>
    </row>
    <row r="8" spans="1:13" ht="13">
      <c r="A8" s="177"/>
      <c r="B8" s="177"/>
      <c r="C8" s="177"/>
      <c r="D8" s="47"/>
      <c r="E8" s="47"/>
      <c r="F8" s="47"/>
      <c r="G8" s="177"/>
      <c r="H8" s="48"/>
      <c r="I8" s="177"/>
      <c r="J8" s="178"/>
      <c r="K8" s="177"/>
      <c r="L8" s="30"/>
      <c r="M8" s="177"/>
    </row>
    <row r="9" spans="1:13">
      <c r="A9" s="177"/>
      <c r="B9" s="177">
        <v>1987</v>
      </c>
      <c r="C9" s="177"/>
      <c r="D9" s="382">
        <v>0</v>
      </c>
      <c r="E9" s="383"/>
      <c r="F9" s="382">
        <v>0</v>
      </c>
      <c r="G9" s="52"/>
      <c r="H9" s="382">
        <v>1.9</v>
      </c>
      <c r="I9" s="48"/>
      <c r="J9" s="48">
        <f t="shared" ref="J9:J45" si="0">+(((1+D9/100)*(1+F9/100)*(1+H9/100)-1))*100</f>
        <v>1.8999999999999906</v>
      </c>
      <c r="K9" s="177"/>
      <c r="L9" s="30">
        <f t="shared" ref="L9:L21" si="1">L10*(1+J10/100)</f>
        <v>1.5907761471671944</v>
      </c>
      <c r="M9" s="177"/>
    </row>
    <row r="10" spans="1:13">
      <c r="A10" s="177"/>
      <c r="B10" s="177">
        <f t="shared" ref="B10:B44" si="2">B9+1</f>
        <v>1988</v>
      </c>
      <c r="C10" s="177"/>
      <c r="D10" s="382">
        <v>0</v>
      </c>
      <c r="E10" s="383"/>
      <c r="F10" s="382">
        <v>0</v>
      </c>
      <c r="G10" s="52"/>
      <c r="H10" s="382">
        <v>1.5</v>
      </c>
      <c r="I10" s="48"/>
      <c r="J10" s="48">
        <f t="shared" si="0"/>
        <v>1.4999999999999902</v>
      </c>
      <c r="K10" s="177"/>
      <c r="L10" s="30">
        <f t="shared" si="1"/>
        <v>1.5672671400662015</v>
      </c>
      <c r="M10" s="177"/>
    </row>
    <row r="11" spans="1:13">
      <c r="A11" s="177"/>
      <c r="B11" s="177">
        <f t="shared" si="2"/>
        <v>1989</v>
      </c>
      <c r="C11" s="177"/>
      <c r="D11" s="382">
        <v>0</v>
      </c>
      <c r="E11" s="383"/>
      <c r="F11" s="382">
        <v>0</v>
      </c>
      <c r="G11" s="52"/>
      <c r="H11" s="382">
        <v>1.5</v>
      </c>
      <c r="I11" s="48"/>
      <c r="J11" s="48">
        <f t="shared" si="0"/>
        <v>1.4999999999999902</v>
      </c>
      <c r="K11" s="177"/>
      <c r="L11" s="30">
        <f t="shared" si="1"/>
        <v>1.5441055567154696</v>
      </c>
      <c r="M11" s="177"/>
    </row>
    <row r="12" spans="1:13">
      <c r="A12" s="177"/>
      <c r="B12" s="177">
        <f t="shared" si="2"/>
        <v>1990</v>
      </c>
      <c r="C12" s="177"/>
      <c r="D12" s="382">
        <v>2.2999999999999998</v>
      </c>
      <c r="E12" s="383"/>
      <c r="F12" s="382">
        <v>19.899999999999999</v>
      </c>
      <c r="G12" s="52"/>
      <c r="H12" s="382">
        <v>1.7000000000000002</v>
      </c>
      <c r="I12" s="48"/>
      <c r="J12" s="48">
        <f t="shared" si="0"/>
        <v>24.742880899999985</v>
      </c>
      <c r="K12" s="177"/>
      <c r="L12" s="30">
        <f t="shared" si="1"/>
        <v>1.2378306045002283</v>
      </c>
      <c r="M12" s="177"/>
    </row>
    <row r="13" spans="1:13">
      <c r="A13" s="177"/>
      <c r="B13" s="177">
        <f t="shared" si="2"/>
        <v>1991</v>
      </c>
      <c r="C13" s="177"/>
      <c r="D13" s="382">
        <v>4.9000000000000004</v>
      </c>
      <c r="E13" s="383"/>
      <c r="F13" s="382">
        <v>14.8</v>
      </c>
      <c r="G13" s="52"/>
      <c r="H13" s="382">
        <v>0.8</v>
      </c>
      <c r="I13" s="48"/>
      <c r="J13" s="48">
        <f t="shared" si="0"/>
        <v>21.388601600000001</v>
      </c>
      <c r="K13" s="177"/>
      <c r="L13" s="30">
        <f t="shared" si="1"/>
        <v>1.0197255658147628</v>
      </c>
      <c r="M13" s="177"/>
    </row>
    <row r="14" spans="1:13">
      <c r="A14" s="177"/>
      <c r="B14" s="177">
        <f t="shared" si="2"/>
        <v>1992</v>
      </c>
      <c r="C14" s="177"/>
      <c r="D14" s="382">
        <v>1.8</v>
      </c>
      <c r="E14" s="383"/>
      <c r="F14" s="382">
        <v>-8.3000000000000007</v>
      </c>
      <c r="G14" s="52"/>
      <c r="H14" s="382">
        <v>1.6</v>
      </c>
      <c r="I14" s="48"/>
      <c r="J14" s="48">
        <f t="shared" si="0"/>
        <v>-5.1557903999999937</v>
      </c>
      <c r="K14" s="177"/>
      <c r="L14" s="30">
        <f t="shared" si="1"/>
        <v>1.0751584837022699</v>
      </c>
      <c r="M14" s="177"/>
    </row>
    <row r="15" spans="1:13">
      <c r="A15" s="177"/>
      <c r="B15" s="177">
        <f t="shared" si="2"/>
        <v>1993</v>
      </c>
      <c r="C15" s="177"/>
      <c r="D15" s="382">
        <v>0.2</v>
      </c>
      <c r="E15" s="383"/>
      <c r="F15" s="382">
        <v>-18.100000000000001</v>
      </c>
      <c r="G15" s="52"/>
      <c r="H15" s="382">
        <v>0.4</v>
      </c>
      <c r="I15" s="48"/>
      <c r="J15" s="48">
        <f t="shared" si="0"/>
        <v>-17.607944799999999</v>
      </c>
      <c r="K15" s="177"/>
      <c r="L15" s="30">
        <f t="shared" si="1"/>
        <v>1.3049298031131888</v>
      </c>
      <c r="M15" s="177"/>
    </row>
    <row r="16" spans="1:13">
      <c r="A16" s="177"/>
      <c r="B16" s="177">
        <f t="shared" si="2"/>
        <v>1994</v>
      </c>
      <c r="C16" s="177"/>
      <c r="D16" s="382">
        <v>-5.0999999999999996</v>
      </c>
      <c r="E16" s="383"/>
      <c r="F16" s="382">
        <v>0.2</v>
      </c>
      <c r="G16" s="52"/>
      <c r="H16" s="382">
        <v>0.6</v>
      </c>
      <c r="I16" s="48"/>
      <c r="J16" s="48">
        <f t="shared" si="0"/>
        <v>-4.3396612000000108</v>
      </c>
      <c r="K16" s="177"/>
      <c r="L16" s="30">
        <f t="shared" si="1"/>
        <v>1.3641283519196452</v>
      </c>
      <c r="M16" s="177"/>
    </row>
    <row r="17" spans="1:13">
      <c r="A17" s="177"/>
      <c r="B17" s="177">
        <f t="shared" si="2"/>
        <v>1995</v>
      </c>
      <c r="C17" s="177"/>
      <c r="D17" s="382">
        <v>6.3</v>
      </c>
      <c r="E17" s="383"/>
      <c r="F17" s="382">
        <v>0.6</v>
      </c>
      <c r="G17" s="52"/>
      <c r="H17" s="382">
        <v>1</v>
      </c>
      <c r="I17" s="48"/>
      <c r="J17" s="48">
        <f t="shared" si="0"/>
        <v>8.0071779999999926</v>
      </c>
      <c r="K17" s="177"/>
      <c r="L17" s="30">
        <f t="shared" si="1"/>
        <v>1.2629978647526976</v>
      </c>
      <c r="M17" s="177"/>
    </row>
    <row r="18" spans="1:13">
      <c r="A18" s="177"/>
      <c r="B18" s="177">
        <f t="shared" si="2"/>
        <v>1996</v>
      </c>
      <c r="C18" s="177"/>
      <c r="D18" s="382">
        <v>5.3</v>
      </c>
      <c r="E18" s="383"/>
      <c r="F18" s="382">
        <v>0.4</v>
      </c>
      <c r="G18" s="52"/>
      <c r="H18" s="382">
        <v>1.2</v>
      </c>
      <c r="I18" s="48"/>
      <c r="J18" s="48">
        <f t="shared" si="0"/>
        <v>6.9898543999999951</v>
      </c>
      <c r="K18" s="177"/>
      <c r="L18" s="30">
        <f t="shared" si="1"/>
        <v>1.1804837681438116</v>
      </c>
      <c r="M18" s="177"/>
    </row>
    <row r="19" spans="1:13">
      <c r="A19" s="177"/>
      <c r="B19" s="177">
        <f t="shared" si="2"/>
        <v>1997</v>
      </c>
      <c r="C19" s="177"/>
      <c r="D19" s="382">
        <v>9.6999999999999993</v>
      </c>
      <c r="E19" s="383"/>
      <c r="F19" s="382">
        <v>0.2</v>
      </c>
      <c r="G19" s="52"/>
      <c r="H19" s="382">
        <v>1.6</v>
      </c>
      <c r="I19" s="48"/>
      <c r="J19" s="48">
        <f t="shared" si="0"/>
        <v>11.678110399999998</v>
      </c>
      <c r="K19" s="177"/>
      <c r="L19" s="30">
        <f t="shared" si="1"/>
        <v>1.0570413162576322</v>
      </c>
      <c r="M19" s="177"/>
    </row>
    <row r="20" spans="1:13">
      <c r="A20" s="177"/>
      <c r="B20" s="177">
        <f t="shared" si="2"/>
        <v>1998</v>
      </c>
      <c r="C20" s="177"/>
      <c r="D20" s="382">
        <v>6.5</v>
      </c>
      <c r="E20" s="383"/>
      <c r="F20" s="382">
        <v>0</v>
      </c>
      <c r="G20" s="52"/>
      <c r="H20" s="382">
        <v>1.8000000000000003</v>
      </c>
      <c r="I20" s="48"/>
      <c r="J20" s="48">
        <f t="shared" si="0"/>
        <v>8.4169999999999856</v>
      </c>
      <c r="K20" s="177"/>
      <c r="L20" s="30">
        <f t="shared" si="1"/>
        <v>0.97497746318163414</v>
      </c>
      <c r="M20" s="177"/>
    </row>
    <row r="21" spans="1:13">
      <c r="A21" s="177"/>
      <c r="B21" s="177">
        <f t="shared" si="2"/>
        <v>1999</v>
      </c>
      <c r="C21" s="177"/>
      <c r="D21" s="382">
        <v>5.7</v>
      </c>
      <c r="E21" s="383"/>
      <c r="F21" s="382">
        <v>0</v>
      </c>
      <c r="G21" s="52"/>
      <c r="H21" s="382">
        <v>2.1</v>
      </c>
      <c r="I21" s="48"/>
      <c r="J21" s="48">
        <f t="shared" si="0"/>
        <v>7.919699999999974</v>
      </c>
      <c r="K21" s="177"/>
      <c r="L21" s="30">
        <f t="shared" si="1"/>
        <v>0.90342862626715459</v>
      </c>
      <c r="M21" s="177"/>
    </row>
    <row r="22" spans="1:13">
      <c r="A22" s="177"/>
      <c r="B22" s="177">
        <f t="shared" si="2"/>
        <v>2000</v>
      </c>
      <c r="C22" s="177"/>
      <c r="D22" s="382">
        <v>3.9</v>
      </c>
      <c r="E22" s="384"/>
      <c r="F22" s="382">
        <v>0</v>
      </c>
      <c r="G22" s="52"/>
      <c r="H22" s="382">
        <v>3.1</v>
      </c>
      <c r="I22" s="48"/>
      <c r="J22" s="48">
        <f t="shared" si="0"/>
        <v>7.1208999999999856</v>
      </c>
      <c r="K22" s="177"/>
      <c r="L22" s="30">
        <f t="shared" ref="L22" si="3">L23*(1+J23/100)</f>
        <v>0.84337288639953056</v>
      </c>
      <c r="M22" s="177"/>
    </row>
    <row r="23" spans="1:13">
      <c r="A23" s="177"/>
      <c r="B23" s="177">
        <f t="shared" si="2"/>
        <v>2001</v>
      </c>
      <c r="C23" s="177"/>
      <c r="D23" s="382">
        <v>-0.3</v>
      </c>
      <c r="E23" s="384"/>
      <c r="F23" s="382">
        <v>0</v>
      </c>
      <c r="G23" s="52"/>
      <c r="H23" s="382">
        <v>0.2</v>
      </c>
      <c r="I23" s="48"/>
      <c r="J23" s="48">
        <f t="shared" si="0"/>
        <v>-0.10059999999999514</v>
      </c>
      <c r="K23" s="177"/>
      <c r="L23" s="386">
        <f>+(J25/100+1)*(J26/100+1)*(J27/100+1)*(J24/100+1)*L27</f>
        <v>0.84422217390648047</v>
      </c>
      <c r="M23" s="177"/>
    </row>
    <row r="24" spans="1:13">
      <c r="A24" s="177"/>
      <c r="B24" s="177">
        <f t="shared" si="2"/>
        <v>2002</v>
      </c>
      <c r="C24" s="177"/>
      <c r="D24" s="382">
        <v>-0.7</v>
      </c>
      <c r="E24" s="384"/>
      <c r="F24" s="382">
        <v>0</v>
      </c>
      <c r="G24" s="52"/>
      <c r="H24" s="382">
        <v>0.4</v>
      </c>
      <c r="I24" s="48"/>
      <c r="J24" s="48">
        <f t="shared" si="0"/>
        <v>-0.30280000000000307</v>
      </c>
      <c r="K24" s="177"/>
      <c r="L24" s="386">
        <f>+L27*(1+J26/100)*(1+J25/100)*(1+E55)</f>
        <v>0.86471965173932741</v>
      </c>
      <c r="M24" s="49" t="s">
        <v>41</v>
      </c>
    </row>
    <row r="25" spans="1:13">
      <c r="A25" s="177"/>
      <c r="B25" s="177">
        <f t="shared" si="2"/>
        <v>2003</v>
      </c>
      <c r="C25" s="177"/>
      <c r="D25" s="382">
        <v>7.3436000000000057</v>
      </c>
      <c r="E25" s="384"/>
      <c r="F25" s="382">
        <v>0</v>
      </c>
      <c r="G25" s="52"/>
      <c r="H25" s="382">
        <v>1.2</v>
      </c>
      <c r="I25" s="48"/>
      <c r="J25" s="48">
        <f t="shared" si="0"/>
        <v>8.6317232000000068</v>
      </c>
      <c r="K25" s="177"/>
      <c r="L25" s="386">
        <f>+L27*(1+J26/100)*(1+E56)</f>
        <v>0.86204403328451285</v>
      </c>
      <c r="M25" s="49" t="s">
        <v>41</v>
      </c>
    </row>
    <row r="26" spans="1:13">
      <c r="A26" s="177"/>
      <c r="B26" s="177">
        <f t="shared" si="2"/>
        <v>2004</v>
      </c>
      <c r="C26" s="177"/>
      <c r="D26" s="382">
        <v>-5.9782388663967678</v>
      </c>
      <c r="E26" s="384"/>
      <c r="F26" s="382">
        <v>-13.7</v>
      </c>
      <c r="G26" s="52"/>
      <c r="H26" s="382">
        <v>2.1</v>
      </c>
      <c r="I26" s="48"/>
      <c r="J26" s="48">
        <f t="shared" si="0"/>
        <v>-17.155263764676132</v>
      </c>
      <c r="K26" s="177"/>
      <c r="L26" s="386">
        <f>+L27*(1+E57)</f>
        <v>1.1800425687238758</v>
      </c>
      <c r="M26" s="49" t="s">
        <v>41</v>
      </c>
    </row>
    <row r="27" spans="1:13">
      <c r="A27" s="177"/>
      <c r="B27" s="177">
        <f t="shared" si="2"/>
        <v>2005</v>
      </c>
      <c r="C27" s="177"/>
      <c r="D27" s="382">
        <v>-31.634572864321608</v>
      </c>
      <c r="E27" s="384"/>
      <c r="F27" s="382">
        <v>-15.3</v>
      </c>
      <c r="G27" s="52"/>
      <c r="H27" s="382">
        <v>1.6</v>
      </c>
      <c r="I27" s="48"/>
      <c r="J27" s="48">
        <f t="shared" si="0"/>
        <v>-41.167994947537693</v>
      </c>
      <c r="K27" s="177"/>
      <c r="L27" s="33">
        <f t="shared" ref="L27:L43" si="4">L28*(1+J28/100)</f>
        <v>1.5993317373883793</v>
      </c>
      <c r="M27" s="49"/>
    </row>
    <row r="28" spans="1:13">
      <c r="A28" s="177"/>
      <c r="B28" s="177">
        <f t="shared" si="2"/>
        <v>2006</v>
      </c>
      <c r="C28" s="177"/>
      <c r="D28" s="382">
        <v>5.6</v>
      </c>
      <c r="E28" s="383"/>
      <c r="F28" s="382">
        <v>-5.7</v>
      </c>
      <c r="G28" s="52"/>
      <c r="H28" s="382">
        <v>2.2000000000000002</v>
      </c>
      <c r="I28" s="48"/>
      <c r="J28" s="48">
        <f t="shared" si="0"/>
        <v>1.7715775999999961</v>
      </c>
      <c r="K28" s="177"/>
      <c r="L28" s="33">
        <f t="shared" si="4"/>
        <v>1.5714915451879361</v>
      </c>
      <c r="M28" s="177"/>
    </row>
    <row r="29" spans="1:13">
      <c r="A29" s="177"/>
      <c r="B29" s="177">
        <f t="shared" si="2"/>
        <v>2007</v>
      </c>
      <c r="C29" s="177"/>
      <c r="D29" s="382">
        <v>1.6</v>
      </c>
      <c r="E29" s="383"/>
      <c r="F29" s="382">
        <v>0</v>
      </c>
      <c r="G29" s="52"/>
      <c r="H29" s="382">
        <v>2.1</v>
      </c>
      <c r="I29" s="177"/>
      <c r="J29" s="48">
        <f t="shared" si="0"/>
        <v>3.7335999999999814</v>
      </c>
      <c r="K29" s="177"/>
      <c r="L29" s="33">
        <f t="shared" si="4"/>
        <v>1.5149301144353771</v>
      </c>
      <c r="M29" s="177"/>
    </row>
    <row r="30" spans="1:13">
      <c r="A30" s="177"/>
      <c r="B30" s="177">
        <f t="shared" si="2"/>
        <v>2008</v>
      </c>
      <c r="C30" s="177"/>
      <c r="D30" s="382">
        <v>4.8</v>
      </c>
      <c r="E30" s="385"/>
      <c r="F30" s="382">
        <v>0.6</v>
      </c>
      <c r="G30" s="52"/>
      <c r="H30" s="382">
        <v>1</v>
      </c>
      <c r="I30" s="177"/>
      <c r="J30" s="48">
        <f t="shared" si="0"/>
        <v>6.4830880000000146</v>
      </c>
      <c r="K30" s="177"/>
      <c r="L30" s="33">
        <f t="shared" si="4"/>
        <v>1.4226955123947729</v>
      </c>
      <c r="M30" s="177"/>
    </row>
    <row r="31" spans="1:13">
      <c r="A31" s="177"/>
      <c r="B31" s="177">
        <f t="shared" si="2"/>
        <v>2009</v>
      </c>
      <c r="D31" s="382">
        <v>0.4</v>
      </c>
      <c r="E31" s="383"/>
      <c r="F31" s="382">
        <v>1.4</v>
      </c>
      <c r="G31" s="377"/>
      <c r="H31" s="382">
        <v>0.2</v>
      </c>
      <c r="I31" s="177"/>
      <c r="J31" s="48">
        <f t="shared" si="0"/>
        <v>2.0092112000000162</v>
      </c>
      <c r="K31" s="177"/>
      <c r="L31" s="33">
        <f t="shared" si="4"/>
        <v>1.3946735747278993</v>
      </c>
      <c r="M31" s="177"/>
    </row>
    <row r="32" spans="1:13">
      <c r="A32" s="177"/>
      <c r="B32" s="177">
        <f t="shared" si="2"/>
        <v>2010</v>
      </c>
      <c r="C32" s="177"/>
      <c r="D32" s="382">
        <v>0.4</v>
      </c>
      <c r="E32" s="383"/>
      <c r="F32" s="382">
        <v>0</v>
      </c>
      <c r="G32" s="52"/>
      <c r="H32" s="382">
        <v>1.5</v>
      </c>
      <c r="I32" s="177"/>
      <c r="J32" s="48">
        <f t="shared" si="0"/>
        <v>1.9059999999999855</v>
      </c>
      <c r="K32" s="177"/>
      <c r="L32" s="33">
        <f t="shared" si="4"/>
        <v>1.3685882820716146</v>
      </c>
      <c r="M32" s="177"/>
    </row>
    <row r="33" spans="1:13">
      <c r="A33" s="177"/>
      <c r="B33" s="177">
        <f t="shared" si="2"/>
        <v>2011</v>
      </c>
      <c r="C33" s="177"/>
      <c r="D33" s="382">
        <v>0</v>
      </c>
      <c r="E33" s="383"/>
      <c r="F33" s="382">
        <v>0</v>
      </c>
      <c r="G33" s="52"/>
      <c r="H33" s="382">
        <v>1.4</v>
      </c>
      <c r="I33" s="177"/>
      <c r="J33" s="48">
        <f t="shared" si="0"/>
        <v>1.4000000000000012</v>
      </c>
      <c r="K33" s="177"/>
      <c r="L33" s="33">
        <f t="shared" si="4"/>
        <v>1.3496925858694424</v>
      </c>
      <c r="M33" s="49"/>
    </row>
    <row r="34" spans="1:13">
      <c r="A34" s="177"/>
      <c r="B34" s="177">
        <f t="shared" si="2"/>
        <v>2012</v>
      </c>
      <c r="C34" s="177"/>
      <c r="D34" s="382">
        <v>-0.82837500000000341</v>
      </c>
      <c r="E34" s="385"/>
      <c r="F34" s="382">
        <v>0</v>
      </c>
      <c r="G34" s="52"/>
      <c r="H34" s="382">
        <v>2.1</v>
      </c>
      <c r="I34" s="39"/>
      <c r="J34" s="48">
        <f t="shared" si="0"/>
        <v>1.2542291249999948</v>
      </c>
      <c r="K34" s="177"/>
      <c r="L34" s="33">
        <f t="shared" si="4"/>
        <v>1.3329740372653718</v>
      </c>
      <c r="M34" s="49"/>
    </row>
    <row r="35" spans="1:13">
      <c r="A35" s="177"/>
      <c r="B35" s="177">
        <f t="shared" si="2"/>
        <v>2013</v>
      </c>
      <c r="C35" s="177"/>
      <c r="D35" s="382">
        <v>1.4457500000000012</v>
      </c>
      <c r="E35" s="385"/>
      <c r="F35" s="382">
        <v>0.2</v>
      </c>
      <c r="G35" s="52"/>
      <c r="H35" s="382">
        <v>0.6</v>
      </c>
      <c r="I35" s="39"/>
      <c r="J35" s="48">
        <f t="shared" si="0"/>
        <v>2.2585333489999915</v>
      </c>
      <c r="K35" s="177"/>
      <c r="L35" s="33">
        <f t="shared" si="4"/>
        <v>1.3035333029039646</v>
      </c>
      <c r="M35" s="49"/>
    </row>
    <row r="36" spans="1:13">
      <c r="A36" s="177"/>
      <c r="B36" s="177">
        <f t="shared" si="2"/>
        <v>2014</v>
      </c>
      <c r="C36" s="177"/>
      <c r="D36" s="382">
        <v>5.7863625000000196</v>
      </c>
      <c r="E36" s="385"/>
      <c r="F36" s="382">
        <v>1.4967259120673537</v>
      </c>
      <c r="G36" s="52"/>
      <c r="H36" s="382">
        <v>1.7000000000000002</v>
      </c>
      <c r="I36" s="39"/>
      <c r="J36" s="48">
        <f t="shared" si="0"/>
        <v>9.1949792037535172</v>
      </c>
      <c r="K36" s="177"/>
      <c r="L36" s="33">
        <f t="shared" si="4"/>
        <v>1.193766702836788</v>
      </c>
      <c r="M36" s="49"/>
    </row>
    <row r="37" spans="1:13">
      <c r="A37" s="177"/>
      <c r="B37" s="177">
        <f t="shared" si="2"/>
        <v>2015</v>
      </c>
      <c r="C37" s="177"/>
      <c r="D37" s="382">
        <v>-0.83826250000000879</v>
      </c>
      <c r="E37" s="385"/>
      <c r="F37" s="382">
        <v>0</v>
      </c>
      <c r="G37" s="52"/>
      <c r="H37" s="382">
        <v>2.2999999999999998</v>
      </c>
      <c r="I37" s="39"/>
      <c r="J37" s="48">
        <f t="shared" si="0"/>
        <v>1.4424574624999797</v>
      </c>
      <c r="K37" s="177"/>
      <c r="L37" s="33">
        <f t="shared" si="4"/>
        <v>1.1767919791159291</v>
      </c>
      <c r="M37" s="177"/>
    </row>
    <row r="38" spans="1:13">
      <c r="A38" s="177"/>
      <c r="B38" s="177">
        <f t="shared" si="2"/>
        <v>2016</v>
      </c>
      <c r="C38" s="177"/>
      <c r="D38" s="382">
        <v>0.26999999999999247</v>
      </c>
      <c r="E38" s="385"/>
      <c r="F38" s="382">
        <v>0</v>
      </c>
      <c r="G38" s="52"/>
      <c r="H38" s="382">
        <v>1</v>
      </c>
      <c r="I38" s="39"/>
      <c r="J38" s="48">
        <f t="shared" si="0"/>
        <v>1.2726999999999933</v>
      </c>
      <c r="K38" s="177"/>
      <c r="L38" s="33">
        <f t="shared" si="4"/>
        <v>1.1620031648370481</v>
      </c>
      <c r="M38" s="177"/>
    </row>
    <row r="39" spans="1:13">
      <c r="A39" s="177"/>
      <c r="B39" s="177">
        <f t="shared" si="2"/>
        <v>2017</v>
      </c>
      <c r="C39" s="177"/>
      <c r="D39" s="382">
        <v>0.46999999999999265</v>
      </c>
      <c r="E39" s="385"/>
      <c r="F39" s="382">
        <v>0</v>
      </c>
      <c r="G39" s="52"/>
      <c r="H39" s="382">
        <v>2.2000000000000002</v>
      </c>
      <c r="I39" s="39"/>
      <c r="J39" s="48">
        <f t="shared" si="0"/>
        <v>2.6803399999999922</v>
      </c>
      <c r="K39" s="177"/>
      <c r="L39" s="33">
        <f t="shared" si="4"/>
        <v>1.1316705465107033</v>
      </c>
      <c r="M39" s="177"/>
    </row>
    <row r="40" spans="1:13">
      <c r="A40" s="177"/>
      <c r="B40" s="177">
        <f t="shared" si="2"/>
        <v>2018</v>
      </c>
      <c r="C40" s="177"/>
      <c r="D40" s="382">
        <v>0.43999999999999595</v>
      </c>
      <c r="E40" s="381"/>
      <c r="F40" s="382">
        <v>0</v>
      </c>
      <c r="G40" s="52"/>
      <c r="H40" s="382">
        <v>2.1999999999999997</v>
      </c>
      <c r="I40" s="39"/>
      <c r="J40" s="48">
        <f t="shared" si="0"/>
        <v>2.6496799999999876</v>
      </c>
      <c r="K40" s="177"/>
      <c r="L40" s="33">
        <f t="shared" si="4"/>
        <v>1.1024589131799567</v>
      </c>
      <c r="M40" s="177"/>
    </row>
    <row r="41" spans="1:13" s="224" customFormat="1">
      <c r="A41" s="225"/>
      <c r="B41" s="225">
        <f t="shared" si="2"/>
        <v>2019</v>
      </c>
      <c r="C41" s="225"/>
      <c r="D41" s="382">
        <v>0.37</v>
      </c>
      <c r="E41" s="381"/>
      <c r="F41" s="382">
        <v>0</v>
      </c>
      <c r="G41" s="52"/>
      <c r="H41" s="382">
        <v>2.6</v>
      </c>
      <c r="I41" s="39"/>
      <c r="J41" s="48">
        <f t="shared" si="0"/>
        <v>2.979620000000005</v>
      </c>
      <c r="K41" s="225"/>
      <c r="L41" s="33">
        <f t="shared" si="4"/>
        <v>1.0705602848213625</v>
      </c>
      <c r="M41" s="225"/>
    </row>
    <row r="42" spans="1:13">
      <c r="A42" s="177"/>
      <c r="B42" s="252">
        <f t="shared" si="2"/>
        <v>2020</v>
      </c>
      <c r="C42" s="252"/>
      <c r="D42" s="382">
        <v>0.42</v>
      </c>
      <c r="E42" s="381"/>
      <c r="F42" s="382">
        <v>0</v>
      </c>
      <c r="G42" s="52"/>
      <c r="H42" s="382">
        <v>1.7000000000000002</v>
      </c>
      <c r="I42" s="39"/>
      <c r="J42" s="48">
        <f t="shared" si="0"/>
        <v>2.1271399999999829</v>
      </c>
      <c r="K42" s="252"/>
      <c r="L42" s="33">
        <f t="shared" si="4"/>
        <v>1.0482622785885933</v>
      </c>
      <c r="M42" s="252"/>
    </row>
    <row r="43" spans="1:13" s="469" customFormat="1">
      <c r="A43" s="252"/>
      <c r="B43" s="252">
        <f t="shared" si="2"/>
        <v>2021</v>
      </c>
      <c r="C43" s="252"/>
      <c r="D43" s="382">
        <v>0.43</v>
      </c>
      <c r="E43" s="381"/>
      <c r="F43" s="382">
        <v>0</v>
      </c>
      <c r="G43" s="52"/>
      <c r="H43" s="382">
        <v>1.6</v>
      </c>
      <c r="I43" s="39"/>
      <c r="J43" s="48">
        <f t="shared" si="0"/>
        <v>2.0368799999999965</v>
      </c>
      <c r="K43" s="252"/>
      <c r="L43" s="33">
        <f t="shared" si="4"/>
        <v>1.0273366635559549</v>
      </c>
      <c r="M43" s="252"/>
    </row>
    <row r="44" spans="1:13" s="295" customFormat="1">
      <c r="A44" s="252"/>
      <c r="B44" s="252">
        <f t="shared" si="2"/>
        <v>2022</v>
      </c>
      <c r="C44" s="252"/>
      <c r="D44" s="382">
        <v>0.7</v>
      </c>
      <c r="E44" s="381"/>
      <c r="F44" s="382">
        <v>0</v>
      </c>
      <c r="G44" s="52"/>
      <c r="H44" s="382">
        <v>1.7000000000000002</v>
      </c>
      <c r="I44" s="39"/>
      <c r="J44" s="48">
        <f t="shared" si="0"/>
        <v>2.411899999999978</v>
      </c>
      <c r="K44" s="252"/>
      <c r="L44" s="386">
        <f>(1+J45/100)</f>
        <v>1.0031418844450255</v>
      </c>
      <c r="M44" s="252"/>
    </row>
    <row r="45" spans="1:13" s="236" customFormat="1">
      <c r="A45" s="237"/>
      <c r="B45" s="327" t="s">
        <v>529</v>
      </c>
      <c r="C45" s="237"/>
      <c r="D45" s="382">
        <v>0</v>
      </c>
      <c r="E45" s="381" t="s">
        <v>527</v>
      </c>
      <c r="F45" s="382">
        <v>0</v>
      </c>
      <c r="G45" s="52"/>
      <c r="H45" s="382">
        <v>0.31418844450255001</v>
      </c>
      <c r="I45" s="381" t="s">
        <v>528</v>
      </c>
      <c r="J45" s="48">
        <f t="shared" si="0"/>
        <v>0.31418844450255001</v>
      </c>
      <c r="K45" s="237"/>
      <c r="L45" s="33"/>
      <c r="M45" s="237"/>
    </row>
    <row r="46" spans="1:13">
      <c r="A46" s="177"/>
      <c r="B46" s="177"/>
      <c r="C46" s="177"/>
      <c r="D46" s="226"/>
      <c r="E46" s="177"/>
      <c r="F46" s="177"/>
      <c r="G46" s="177"/>
      <c r="H46" s="177"/>
      <c r="I46" s="177"/>
      <c r="J46" s="177"/>
      <c r="K46" s="177"/>
      <c r="L46" s="177"/>
      <c r="M46" s="179"/>
    </row>
    <row r="47" spans="1:13" ht="54" customHeight="1">
      <c r="A47" s="177"/>
      <c r="B47" s="31" t="s">
        <v>22</v>
      </c>
      <c r="C47" s="514" t="s">
        <v>336</v>
      </c>
      <c r="D47" s="514"/>
      <c r="E47" s="514"/>
      <c r="F47" s="514"/>
      <c r="G47" s="514"/>
      <c r="H47" s="514"/>
      <c r="I47" s="514"/>
      <c r="J47" s="514"/>
      <c r="K47" s="514"/>
      <c r="L47" s="514"/>
      <c r="M47" s="179"/>
    </row>
    <row r="48" spans="1:13" ht="26.15" customHeight="1">
      <c r="A48" s="177"/>
      <c r="B48" s="31" t="s">
        <v>28</v>
      </c>
      <c r="C48" s="514" t="s">
        <v>531</v>
      </c>
      <c r="D48" s="514"/>
      <c r="E48" s="514"/>
      <c r="F48" s="514"/>
      <c r="G48" s="514"/>
      <c r="H48" s="514"/>
      <c r="I48" s="514"/>
      <c r="J48" s="514"/>
      <c r="K48" s="514"/>
      <c r="L48" s="514"/>
      <c r="M48" s="179"/>
    </row>
    <row r="49" spans="1:13" ht="14.5" customHeight="1">
      <c r="A49" s="177"/>
      <c r="B49" s="31" t="s">
        <v>38</v>
      </c>
      <c r="C49" s="514" t="s">
        <v>77</v>
      </c>
      <c r="D49" s="514"/>
      <c r="E49" s="514"/>
      <c r="F49" s="514"/>
      <c r="G49" s="514"/>
      <c r="H49" s="514"/>
      <c r="I49" s="514"/>
      <c r="J49" s="514"/>
      <c r="K49" s="514"/>
      <c r="L49" s="514"/>
      <c r="M49" s="177"/>
    </row>
    <row r="50" spans="1:13" ht="41.5" customHeight="1">
      <c r="A50" s="177"/>
      <c r="B50" s="31" t="s">
        <v>57</v>
      </c>
      <c r="C50" s="514" t="s">
        <v>530</v>
      </c>
      <c r="D50" s="514"/>
      <c r="E50" s="514"/>
      <c r="F50" s="514"/>
      <c r="G50" s="514"/>
      <c r="H50" s="514"/>
      <c r="I50" s="514"/>
      <c r="J50" s="514"/>
      <c r="K50" s="514"/>
      <c r="L50" s="514"/>
      <c r="M50" s="51"/>
    </row>
    <row r="51" spans="1:13" ht="53.25" customHeight="1">
      <c r="A51" s="177"/>
      <c r="B51" s="31" t="s">
        <v>41</v>
      </c>
      <c r="C51" s="514" t="s">
        <v>78</v>
      </c>
      <c r="D51" s="514"/>
      <c r="E51" s="514"/>
      <c r="F51" s="514"/>
      <c r="G51" s="514"/>
      <c r="H51" s="514"/>
      <c r="I51" s="514"/>
      <c r="J51" s="514"/>
      <c r="K51" s="514"/>
      <c r="L51" s="514"/>
      <c r="M51" s="179"/>
    </row>
    <row r="52" spans="1:13" s="361" customFormat="1" ht="12.75" customHeight="1">
      <c r="A52" s="252"/>
      <c r="B52" s="31"/>
      <c r="C52" s="359"/>
      <c r="D52" s="359"/>
      <c r="E52" s="359"/>
      <c r="F52" s="359"/>
      <c r="G52" s="359"/>
      <c r="H52" s="359"/>
      <c r="I52" s="359"/>
      <c r="J52" s="359"/>
      <c r="K52" s="359"/>
      <c r="L52" s="359"/>
      <c r="M52" s="359"/>
    </row>
    <row r="53" spans="1:13" ht="14.5">
      <c r="B53" s="529" t="s">
        <v>450</v>
      </c>
      <c r="C53" s="530"/>
      <c r="D53" s="530"/>
      <c r="E53" s="530"/>
      <c r="F53" s="530"/>
      <c r="G53" s="530"/>
      <c r="H53" s="530"/>
      <c r="I53" s="531"/>
    </row>
    <row r="54" spans="1:13" ht="25">
      <c r="B54" s="387" t="s">
        <v>186</v>
      </c>
      <c r="C54" s="388" t="s">
        <v>451</v>
      </c>
      <c r="D54" s="388" t="s">
        <v>452</v>
      </c>
      <c r="E54" s="388" t="s">
        <v>453</v>
      </c>
      <c r="F54" s="133"/>
      <c r="G54" s="388" t="s">
        <v>451</v>
      </c>
      <c r="H54" s="388" t="s">
        <v>452</v>
      </c>
      <c r="I54" s="389" t="s">
        <v>454</v>
      </c>
    </row>
    <row r="55" spans="1:13">
      <c r="B55" s="125">
        <v>2002</v>
      </c>
      <c r="C55" s="390">
        <v>0.95</v>
      </c>
      <c r="D55" s="390">
        <v>5.0000000000000044E-2</v>
      </c>
      <c r="E55" s="390">
        <v>-0.3992203893047237</v>
      </c>
      <c r="F55" s="361"/>
      <c r="G55" s="390">
        <v>0.95</v>
      </c>
      <c r="H55" s="390">
        <v>5.0000000000000044E-2</v>
      </c>
      <c r="I55" s="391">
        <v>-0.2906970357788945</v>
      </c>
    </row>
    <row r="56" spans="1:13">
      <c r="B56" s="125">
        <v>2003</v>
      </c>
      <c r="C56" s="390">
        <v>0.75</v>
      </c>
      <c r="D56" s="390">
        <v>0.25</v>
      </c>
      <c r="E56" s="390">
        <v>-0.34938214862211059</v>
      </c>
      <c r="F56" s="361"/>
      <c r="G56" s="390">
        <v>0.75</v>
      </c>
      <c r="H56" s="390">
        <v>0.25</v>
      </c>
      <c r="I56" s="391">
        <v>-0.23185613768844215</v>
      </c>
    </row>
    <row r="57" spans="1:13">
      <c r="B57" s="125">
        <v>2004</v>
      </c>
      <c r="C57" s="390">
        <v>0.4</v>
      </c>
      <c r="D57" s="390">
        <v>0.6</v>
      </c>
      <c r="E57" s="390">
        <v>-0.26216522742753778</v>
      </c>
      <c r="F57" s="361"/>
      <c r="G57" s="390">
        <v>0.4</v>
      </c>
      <c r="H57" s="390">
        <v>0.6</v>
      </c>
      <c r="I57" s="391">
        <v>-0.12888456603015075</v>
      </c>
    </row>
    <row r="58" spans="1:13" ht="25">
      <c r="B58" s="392" t="s">
        <v>455</v>
      </c>
      <c r="C58" s="393">
        <v>-0.41167994947537695</v>
      </c>
      <c r="D58" s="393">
        <v>-0.16248874606231156</v>
      </c>
      <c r="E58" s="360"/>
      <c r="F58" s="360"/>
      <c r="G58" s="393">
        <v>-0.30540726030150755</v>
      </c>
      <c r="H58" s="393">
        <v>-1.1202769849246175E-2</v>
      </c>
      <c r="I58" s="394"/>
    </row>
  </sheetData>
  <mergeCells count="7">
    <mergeCell ref="B53:I53"/>
    <mergeCell ref="C50:L50"/>
    <mergeCell ref="C51:L51"/>
    <mergeCell ref="A1:M1"/>
    <mergeCell ref="C47:L47"/>
    <mergeCell ref="C48:L48"/>
    <mergeCell ref="C49:L49"/>
  </mergeCells>
  <pageMargins left="0.5" right="0.5" top="0.75" bottom="0.75" header="0.33" footer="0.33"/>
  <pageSetup scale="88" orientation="portrait" blackAndWhite="1" horizontalDpi="1200" verticalDpi="1200" r:id="rId1"/>
  <headerFooter scaleWithDoc="0">
    <oddHeader>&amp;R&amp;"Arial,Regular"&amp;10Exhibit 4.1</oddHeader>
  </headerFooter>
  <ignoredErrors>
    <ignoredError sqref="D2:I2 D3:I3 K3 K2:L2"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Q34"/>
  <sheetViews>
    <sheetView zoomScaleNormal="100" workbookViewId="0"/>
  </sheetViews>
  <sheetFormatPr defaultColWidth="9.1796875" defaultRowHeight="12.5"/>
  <cols>
    <col min="1" max="1" width="14" style="108" customWidth="1"/>
    <col min="2" max="17" width="7.7265625" style="108" customWidth="1"/>
    <col min="18" max="16384" width="9.1796875" style="108"/>
  </cols>
  <sheetData>
    <row r="1" spans="1:17" ht="13.15" customHeight="1">
      <c r="A1" s="240" t="s">
        <v>17</v>
      </c>
      <c r="B1" s="240"/>
      <c r="C1" s="240"/>
      <c r="D1" s="240"/>
      <c r="E1" s="240"/>
      <c r="F1" s="240"/>
      <c r="G1" s="240"/>
      <c r="H1" s="240"/>
      <c r="I1" s="240"/>
      <c r="J1" s="240"/>
      <c r="K1" s="240"/>
      <c r="L1" s="240"/>
      <c r="M1" s="240"/>
      <c r="N1" s="240"/>
      <c r="O1" s="240"/>
      <c r="P1" s="240"/>
      <c r="Q1" s="240"/>
    </row>
    <row r="2" spans="1:17" ht="13.15" customHeight="1">
      <c r="A2" s="118"/>
      <c r="B2" s="118"/>
      <c r="C2" s="118"/>
      <c r="D2" s="118"/>
      <c r="E2" s="118"/>
      <c r="F2" s="118"/>
      <c r="G2" s="118"/>
      <c r="H2" s="118"/>
      <c r="I2" s="118"/>
      <c r="J2" s="118"/>
      <c r="K2" s="118"/>
      <c r="L2" s="118"/>
      <c r="M2" s="118"/>
      <c r="N2" s="118"/>
      <c r="O2" s="118"/>
      <c r="P2" s="120"/>
    </row>
    <row r="3" spans="1:17" ht="13.15" customHeight="1">
      <c r="A3" s="120"/>
      <c r="B3" s="241" t="s">
        <v>18</v>
      </c>
      <c r="C3" s="241"/>
      <c r="D3" s="241"/>
      <c r="E3" s="241"/>
      <c r="F3" s="241"/>
      <c r="G3" s="241"/>
      <c r="H3" s="241"/>
      <c r="I3" s="241"/>
      <c r="J3" s="241"/>
      <c r="K3" s="241"/>
      <c r="L3" s="241"/>
      <c r="M3" s="241"/>
      <c r="N3" s="241"/>
      <c r="O3" s="241"/>
      <c r="P3" s="241"/>
      <c r="Q3" s="241"/>
    </row>
    <row r="4" spans="1:17" ht="13.15" customHeight="1">
      <c r="A4" s="11" t="s">
        <v>19</v>
      </c>
      <c r="B4" s="11" t="s">
        <v>471</v>
      </c>
      <c r="C4" s="11" t="s">
        <v>472</v>
      </c>
      <c r="D4" s="11" t="s">
        <v>473</v>
      </c>
      <c r="E4" s="11" t="s">
        <v>474</v>
      </c>
      <c r="F4" s="11" t="s">
        <v>475</v>
      </c>
      <c r="G4" s="11" t="s">
        <v>476</v>
      </c>
      <c r="H4" s="11" t="s">
        <v>477</v>
      </c>
      <c r="I4" s="11" t="s">
        <v>478</v>
      </c>
      <c r="J4" s="11" t="s">
        <v>479</v>
      </c>
      <c r="K4" s="11" t="s">
        <v>480</v>
      </c>
      <c r="L4" s="11" t="s">
        <v>481</v>
      </c>
      <c r="M4" s="11" t="s">
        <v>482</v>
      </c>
      <c r="N4" s="11" t="s">
        <v>483</v>
      </c>
      <c r="O4" s="11" t="s">
        <v>484</v>
      </c>
      <c r="P4" s="11" t="s">
        <v>485</v>
      </c>
      <c r="Q4" s="11" t="s">
        <v>486</v>
      </c>
    </row>
    <row r="5" spans="1:17" ht="13.15" customHeight="1">
      <c r="A5" s="12">
        <f t="shared" ref="A5:A28" si="0">+A6-1</f>
        <v>1995</v>
      </c>
      <c r="B5" s="364" t="s">
        <v>34</v>
      </c>
      <c r="C5" s="364" t="s">
        <v>34</v>
      </c>
      <c r="D5" s="364" t="s">
        <v>34</v>
      </c>
      <c r="E5" s="364" t="s">
        <v>34</v>
      </c>
      <c r="F5" s="364" t="s">
        <v>34</v>
      </c>
      <c r="G5" s="364" t="s">
        <v>34</v>
      </c>
      <c r="H5" s="364" t="s">
        <v>34</v>
      </c>
      <c r="I5" s="364" t="s">
        <v>34</v>
      </c>
      <c r="J5" s="364" t="s">
        <v>34</v>
      </c>
      <c r="K5" s="364" t="s">
        <v>34</v>
      </c>
      <c r="L5" s="364" t="s">
        <v>34</v>
      </c>
      <c r="M5" s="364">
        <v>1.0029999999999999</v>
      </c>
      <c r="N5" s="364">
        <v>1</v>
      </c>
      <c r="O5" s="364">
        <v>1.002</v>
      </c>
      <c r="P5" s="364">
        <v>1.002</v>
      </c>
      <c r="Q5" s="364">
        <v>1</v>
      </c>
    </row>
    <row r="6" spans="1:17" ht="13.15" customHeight="1">
      <c r="A6" s="12">
        <f t="shared" si="0"/>
        <v>1996</v>
      </c>
      <c r="B6" s="364" t="s">
        <v>34</v>
      </c>
      <c r="C6" s="364" t="s">
        <v>34</v>
      </c>
      <c r="D6" s="364" t="s">
        <v>34</v>
      </c>
      <c r="E6" s="364" t="s">
        <v>34</v>
      </c>
      <c r="F6" s="364" t="s">
        <v>34</v>
      </c>
      <c r="G6" s="364" t="s">
        <v>34</v>
      </c>
      <c r="H6" s="364" t="s">
        <v>34</v>
      </c>
      <c r="I6" s="364" t="s">
        <v>34</v>
      </c>
      <c r="J6" s="364" t="s">
        <v>34</v>
      </c>
      <c r="K6" s="364" t="s">
        <v>34</v>
      </c>
      <c r="L6" s="364">
        <v>1.004</v>
      </c>
      <c r="M6" s="364">
        <v>1</v>
      </c>
      <c r="N6" s="364">
        <v>1</v>
      </c>
      <c r="O6" s="364">
        <v>1</v>
      </c>
      <c r="P6" s="364">
        <v>1.0009999999999999</v>
      </c>
      <c r="Q6" s="364">
        <v>1.002</v>
      </c>
    </row>
    <row r="7" spans="1:17" ht="13.15" customHeight="1">
      <c r="A7" s="12">
        <f t="shared" si="0"/>
        <v>1997</v>
      </c>
      <c r="B7" s="364" t="s">
        <v>34</v>
      </c>
      <c r="C7" s="364" t="s">
        <v>34</v>
      </c>
      <c r="D7" s="364" t="s">
        <v>34</v>
      </c>
      <c r="E7" s="364" t="s">
        <v>34</v>
      </c>
      <c r="F7" s="364" t="s">
        <v>34</v>
      </c>
      <c r="G7" s="364" t="s">
        <v>34</v>
      </c>
      <c r="H7" s="364" t="s">
        <v>34</v>
      </c>
      <c r="I7" s="364" t="s">
        <v>34</v>
      </c>
      <c r="J7" s="364" t="s">
        <v>34</v>
      </c>
      <c r="K7" s="364">
        <v>1.0049999999999999</v>
      </c>
      <c r="L7" s="364">
        <v>1.002</v>
      </c>
      <c r="M7" s="364">
        <v>1.002</v>
      </c>
      <c r="N7" s="364">
        <v>1.0029999999999999</v>
      </c>
      <c r="O7" s="364">
        <v>1.002</v>
      </c>
      <c r="P7" s="364">
        <v>1.0009999999999999</v>
      </c>
      <c r="Q7" s="364">
        <v>1.0009999999999999</v>
      </c>
    </row>
    <row r="8" spans="1:17" ht="13.15" customHeight="1">
      <c r="A8" s="12">
        <f t="shared" si="0"/>
        <v>1998</v>
      </c>
      <c r="B8" s="364" t="s">
        <v>34</v>
      </c>
      <c r="C8" s="364" t="s">
        <v>34</v>
      </c>
      <c r="D8" s="364" t="s">
        <v>34</v>
      </c>
      <c r="E8" s="364" t="s">
        <v>34</v>
      </c>
      <c r="F8" s="364" t="s">
        <v>34</v>
      </c>
      <c r="G8" s="364" t="s">
        <v>34</v>
      </c>
      <c r="H8" s="364" t="s">
        <v>34</v>
      </c>
      <c r="I8" s="364" t="s">
        <v>34</v>
      </c>
      <c r="J8" s="364">
        <v>1.004</v>
      </c>
      <c r="K8" s="364">
        <v>1.004</v>
      </c>
      <c r="L8" s="364">
        <v>1.002</v>
      </c>
      <c r="M8" s="364">
        <v>1.0029999999999999</v>
      </c>
      <c r="N8" s="364">
        <v>1.004</v>
      </c>
      <c r="O8" s="364">
        <v>1.0009999999999999</v>
      </c>
      <c r="P8" s="364">
        <v>1.002</v>
      </c>
      <c r="Q8" s="364">
        <v>1.0009999999999999</v>
      </c>
    </row>
    <row r="9" spans="1:17" ht="13.15" customHeight="1">
      <c r="A9" s="12">
        <f t="shared" si="0"/>
        <v>1999</v>
      </c>
      <c r="B9" s="364" t="s">
        <v>34</v>
      </c>
      <c r="C9" s="364" t="s">
        <v>34</v>
      </c>
      <c r="D9" s="364" t="s">
        <v>34</v>
      </c>
      <c r="E9" s="364" t="s">
        <v>34</v>
      </c>
      <c r="F9" s="364" t="s">
        <v>34</v>
      </c>
      <c r="G9" s="364" t="s">
        <v>34</v>
      </c>
      <c r="H9" s="364" t="s">
        <v>34</v>
      </c>
      <c r="I9" s="364">
        <v>1.006</v>
      </c>
      <c r="J9" s="364">
        <v>1.0069999999999999</v>
      </c>
      <c r="K9" s="364">
        <v>1.004</v>
      </c>
      <c r="L9" s="364">
        <v>1.002</v>
      </c>
      <c r="M9" s="364">
        <v>1.0029999999999999</v>
      </c>
      <c r="N9" s="364">
        <v>1.0029999999999999</v>
      </c>
      <c r="O9" s="364">
        <v>1.002</v>
      </c>
      <c r="P9" s="364">
        <v>1.002</v>
      </c>
      <c r="Q9" s="364">
        <v>1.0009999999999999</v>
      </c>
    </row>
    <row r="10" spans="1:17" ht="13.15" customHeight="1">
      <c r="A10" s="12">
        <f t="shared" si="0"/>
        <v>2000</v>
      </c>
      <c r="B10" s="364" t="s">
        <v>34</v>
      </c>
      <c r="C10" s="364" t="s">
        <v>34</v>
      </c>
      <c r="D10" s="364" t="s">
        <v>34</v>
      </c>
      <c r="E10" s="364" t="s">
        <v>34</v>
      </c>
      <c r="F10" s="364" t="s">
        <v>34</v>
      </c>
      <c r="G10" s="364" t="s">
        <v>34</v>
      </c>
      <c r="H10" s="364">
        <v>1.0109999999999999</v>
      </c>
      <c r="I10" s="364">
        <v>1.008</v>
      </c>
      <c r="J10" s="364">
        <v>1.004</v>
      </c>
      <c r="K10" s="364">
        <v>1.004</v>
      </c>
      <c r="L10" s="364">
        <v>1.0049999999999999</v>
      </c>
      <c r="M10" s="364">
        <v>1.0029999999999999</v>
      </c>
      <c r="N10" s="364">
        <v>1.0009999999999999</v>
      </c>
      <c r="O10" s="364">
        <v>1.004</v>
      </c>
      <c r="P10" s="364">
        <v>1.002</v>
      </c>
      <c r="Q10" s="364">
        <v>1</v>
      </c>
    </row>
    <row r="11" spans="1:17" ht="13.15" customHeight="1">
      <c r="A11" s="12">
        <f t="shared" si="0"/>
        <v>2001</v>
      </c>
      <c r="B11" s="364" t="s">
        <v>34</v>
      </c>
      <c r="C11" s="364" t="s">
        <v>34</v>
      </c>
      <c r="D11" s="364" t="s">
        <v>34</v>
      </c>
      <c r="E11" s="364" t="s">
        <v>34</v>
      </c>
      <c r="F11" s="364" t="s">
        <v>34</v>
      </c>
      <c r="G11" s="364">
        <v>1.0209999999999999</v>
      </c>
      <c r="H11" s="364">
        <v>1.014</v>
      </c>
      <c r="I11" s="364">
        <v>1.0089999999999999</v>
      </c>
      <c r="J11" s="364">
        <v>1.006</v>
      </c>
      <c r="K11" s="364">
        <v>1.0069999999999999</v>
      </c>
      <c r="L11" s="364">
        <v>1.006</v>
      </c>
      <c r="M11" s="364">
        <v>1.0049999999999999</v>
      </c>
      <c r="N11" s="364">
        <v>1.0029999999999999</v>
      </c>
      <c r="O11" s="364">
        <v>1.002</v>
      </c>
      <c r="P11" s="364">
        <v>1.0009999999999999</v>
      </c>
      <c r="Q11" s="364">
        <v>1.0009999999999999</v>
      </c>
    </row>
    <row r="12" spans="1:17" ht="13.15" customHeight="1">
      <c r="A12" s="12">
        <f t="shared" si="0"/>
        <v>2002</v>
      </c>
      <c r="B12" s="364" t="s">
        <v>34</v>
      </c>
      <c r="C12" s="364" t="s">
        <v>34</v>
      </c>
      <c r="D12" s="364" t="s">
        <v>34</v>
      </c>
      <c r="E12" s="364" t="s">
        <v>34</v>
      </c>
      <c r="F12" s="364">
        <v>1.0329999999999999</v>
      </c>
      <c r="G12" s="364">
        <v>1.018</v>
      </c>
      <c r="H12" s="364">
        <v>1.0109999999999999</v>
      </c>
      <c r="I12" s="364">
        <v>1.01</v>
      </c>
      <c r="J12" s="364">
        <v>1.01</v>
      </c>
      <c r="K12" s="364">
        <v>1.0069999999999999</v>
      </c>
      <c r="L12" s="364">
        <v>1.0049999999999999</v>
      </c>
      <c r="M12" s="364">
        <v>1.0029999999999999</v>
      </c>
      <c r="N12" s="364">
        <v>1.002</v>
      </c>
      <c r="O12" s="364">
        <v>1.002</v>
      </c>
      <c r="P12" s="364">
        <v>1.0029999999999999</v>
      </c>
      <c r="Q12" s="364">
        <v>1.002</v>
      </c>
    </row>
    <row r="13" spans="1:17" ht="13.15" customHeight="1">
      <c r="A13" s="12">
        <f t="shared" si="0"/>
        <v>2003</v>
      </c>
      <c r="B13" s="364" t="s">
        <v>34</v>
      </c>
      <c r="C13" s="364" t="s">
        <v>34</v>
      </c>
      <c r="D13" s="364" t="s">
        <v>34</v>
      </c>
      <c r="E13" s="364">
        <v>1.056</v>
      </c>
      <c r="F13" s="364">
        <v>1.0329999999999999</v>
      </c>
      <c r="G13" s="364">
        <v>1.0209999999999999</v>
      </c>
      <c r="H13" s="364">
        <v>1.018</v>
      </c>
      <c r="I13" s="364">
        <v>1.0149999999999999</v>
      </c>
      <c r="J13" s="364">
        <v>1.0149999999999999</v>
      </c>
      <c r="K13" s="364">
        <v>1.0089999999999999</v>
      </c>
      <c r="L13" s="364">
        <v>1.006</v>
      </c>
      <c r="M13" s="364">
        <v>1.004</v>
      </c>
      <c r="N13" s="364">
        <v>1.0029999999999999</v>
      </c>
      <c r="O13" s="364">
        <v>1.002</v>
      </c>
      <c r="P13" s="364">
        <v>1.002</v>
      </c>
      <c r="Q13" s="364">
        <v>1.004</v>
      </c>
    </row>
    <row r="14" spans="1:17" ht="13.15" customHeight="1">
      <c r="A14" s="12">
        <f t="shared" si="0"/>
        <v>2004</v>
      </c>
      <c r="B14" s="364" t="s">
        <v>34</v>
      </c>
      <c r="C14" s="364" t="s">
        <v>34</v>
      </c>
      <c r="D14" s="364">
        <v>1.083</v>
      </c>
      <c r="E14" s="364">
        <v>1.042</v>
      </c>
      <c r="F14" s="364">
        <v>1.0409999999999999</v>
      </c>
      <c r="G14" s="364">
        <v>1.026</v>
      </c>
      <c r="H14" s="364">
        <v>1.028</v>
      </c>
      <c r="I14" s="364">
        <v>1.018</v>
      </c>
      <c r="J14" s="364">
        <v>1.014</v>
      </c>
      <c r="K14" s="364">
        <v>1.0069999999999999</v>
      </c>
      <c r="L14" s="364">
        <v>1.0069999999999999</v>
      </c>
      <c r="M14" s="364">
        <v>1.0029999999999999</v>
      </c>
      <c r="N14" s="364">
        <v>1.0009999999999999</v>
      </c>
      <c r="O14" s="364">
        <v>1.002</v>
      </c>
      <c r="P14" s="364">
        <v>1.006</v>
      </c>
      <c r="Q14" s="364">
        <v>1.0009999999999999</v>
      </c>
    </row>
    <row r="15" spans="1:17" ht="13.15" customHeight="1">
      <c r="A15" s="12">
        <f t="shared" si="0"/>
        <v>2005</v>
      </c>
      <c r="B15" s="364" t="s">
        <v>34</v>
      </c>
      <c r="C15" s="364">
        <v>1.218</v>
      </c>
      <c r="D15" s="364">
        <v>1.0980000000000001</v>
      </c>
      <c r="E15" s="364">
        <v>1.0680000000000001</v>
      </c>
      <c r="F15" s="364">
        <v>1.0529999999999999</v>
      </c>
      <c r="G15" s="364">
        <v>1.04</v>
      </c>
      <c r="H15" s="364">
        <v>1.028</v>
      </c>
      <c r="I15" s="364">
        <v>1.016</v>
      </c>
      <c r="J15" s="364">
        <v>1.012</v>
      </c>
      <c r="K15" s="364">
        <v>1.006</v>
      </c>
      <c r="L15" s="364">
        <v>1.0049999999999999</v>
      </c>
      <c r="M15" s="364">
        <v>1.006</v>
      </c>
      <c r="N15" s="364">
        <v>1.0029999999999999</v>
      </c>
      <c r="O15" s="364">
        <v>1.004</v>
      </c>
      <c r="P15" s="364">
        <v>1.004</v>
      </c>
      <c r="Q15" s="364" t="s">
        <v>34</v>
      </c>
    </row>
    <row r="16" spans="1:17" ht="13.15" customHeight="1">
      <c r="A16" s="12">
        <f t="shared" si="0"/>
        <v>2006</v>
      </c>
      <c r="B16" s="364">
        <v>1.69</v>
      </c>
      <c r="C16" s="364">
        <v>1.2470000000000001</v>
      </c>
      <c r="D16" s="364">
        <v>1.111</v>
      </c>
      <c r="E16" s="364">
        <v>1.08</v>
      </c>
      <c r="F16" s="364">
        <v>1.0529999999999999</v>
      </c>
      <c r="G16" s="364">
        <v>1.0349999999999999</v>
      </c>
      <c r="H16" s="364">
        <v>1.0229999999999999</v>
      </c>
      <c r="I16" s="364">
        <v>1.0149999999999999</v>
      </c>
      <c r="J16" s="364">
        <v>1.0089999999999999</v>
      </c>
      <c r="K16" s="364">
        <v>1.0069999999999999</v>
      </c>
      <c r="L16" s="364">
        <v>1.004</v>
      </c>
      <c r="M16" s="364">
        <v>1.0049999999999999</v>
      </c>
      <c r="N16" s="364">
        <v>1.002</v>
      </c>
      <c r="O16" s="364">
        <v>1.0049999999999999</v>
      </c>
      <c r="P16" s="364" t="s">
        <v>34</v>
      </c>
      <c r="Q16" s="364" t="s">
        <v>34</v>
      </c>
    </row>
    <row r="17" spans="1:17" ht="13.15" customHeight="1">
      <c r="A17" s="12">
        <f t="shared" si="0"/>
        <v>2007</v>
      </c>
      <c r="B17" s="364">
        <v>1.784</v>
      </c>
      <c r="C17" s="364">
        <v>1.2729999999999999</v>
      </c>
      <c r="D17" s="364">
        <v>1.1200000000000001</v>
      </c>
      <c r="E17" s="364">
        <v>1.07</v>
      </c>
      <c r="F17" s="364">
        <v>1.0489999999999999</v>
      </c>
      <c r="G17" s="364">
        <v>1.0369999999999999</v>
      </c>
      <c r="H17" s="364">
        <v>1.022</v>
      </c>
      <c r="I17" s="364">
        <v>1.012</v>
      </c>
      <c r="J17" s="364">
        <v>1.0109999999999999</v>
      </c>
      <c r="K17" s="364">
        <v>1.0049999999999999</v>
      </c>
      <c r="L17" s="364">
        <v>1.0069999999999999</v>
      </c>
      <c r="M17" s="364">
        <v>1.01</v>
      </c>
      <c r="N17" s="364">
        <v>1.0009999999999999</v>
      </c>
      <c r="O17" s="364" t="s">
        <v>34</v>
      </c>
      <c r="P17" s="364" t="s">
        <v>34</v>
      </c>
      <c r="Q17" s="364" t="s">
        <v>34</v>
      </c>
    </row>
    <row r="18" spans="1:17" ht="13.15" customHeight="1">
      <c r="A18" s="12">
        <f t="shared" si="0"/>
        <v>2008</v>
      </c>
      <c r="B18" s="364">
        <v>1.8580000000000001</v>
      </c>
      <c r="C18" s="364">
        <v>1.302</v>
      </c>
      <c r="D18" s="364">
        <v>1.1359999999999999</v>
      </c>
      <c r="E18" s="364">
        <v>1.0740000000000001</v>
      </c>
      <c r="F18" s="364">
        <v>1.0449999999999999</v>
      </c>
      <c r="G18" s="364">
        <v>1.03</v>
      </c>
      <c r="H18" s="364">
        <v>1.0189999999999999</v>
      </c>
      <c r="I18" s="364">
        <v>1.012</v>
      </c>
      <c r="J18" s="364">
        <v>1.0089999999999999</v>
      </c>
      <c r="K18" s="364">
        <v>1.006</v>
      </c>
      <c r="L18" s="364">
        <v>1.0069999999999999</v>
      </c>
      <c r="M18" s="364">
        <v>1.006</v>
      </c>
      <c r="N18" s="364" t="s">
        <v>34</v>
      </c>
      <c r="O18" s="364" t="s">
        <v>34</v>
      </c>
      <c r="P18" s="364" t="s">
        <v>34</v>
      </c>
      <c r="Q18" s="364" t="s">
        <v>34</v>
      </c>
    </row>
    <row r="19" spans="1:17" ht="13.15" customHeight="1">
      <c r="A19" s="12">
        <f t="shared" si="0"/>
        <v>2009</v>
      </c>
      <c r="B19" s="364">
        <v>1.9830000000000001</v>
      </c>
      <c r="C19" s="364">
        <v>1.2929999999999999</v>
      </c>
      <c r="D19" s="364">
        <v>1.1419999999999999</v>
      </c>
      <c r="E19" s="364">
        <v>1.0760000000000001</v>
      </c>
      <c r="F19" s="364">
        <v>1.048</v>
      </c>
      <c r="G19" s="364">
        <v>1.024</v>
      </c>
      <c r="H19" s="364">
        <v>1.0189999999999999</v>
      </c>
      <c r="I19" s="364">
        <v>1.014</v>
      </c>
      <c r="J19" s="364">
        <v>1.0089999999999999</v>
      </c>
      <c r="K19" s="364">
        <v>1.01</v>
      </c>
      <c r="L19" s="364">
        <v>1.0049999999999999</v>
      </c>
      <c r="M19" s="364" t="s">
        <v>34</v>
      </c>
      <c r="N19" s="364" t="s">
        <v>34</v>
      </c>
      <c r="O19" s="364" t="s">
        <v>34</v>
      </c>
      <c r="P19" s="364" t="s">
        <v>34</v>
      </c>
      <c r="Q19" s="364" t="s">
        <v>34</v>
      </c>
    </row>
    <row r="20" spans="1:17" ht="13.15" customHeight="1">
      <c r="A20" s="12">
        <f t="shared" si="0"/>
        <v>2010</v>
      </c>
      <c r="B20" s="364">
        <v>1.994</v>
      </c>
      <c r="C20" s="364">
        <v>1.3149999999999999</v>
      </c>
      <c r="D20" s="364">
        <v>1.131</v>
      </c>
      <c r="E20" s="364">
        <v>1.069</v>
      </c>
      <c r="F20" s="364">
        <v>1.0449999999999999</v>
      </c>
      <c r="G20" s="364">
        <v>1.026</v>
      </c>
      <c r="H20" s="364">
        <v>1.016</v>
      </c>
      <c r="I20" s="364">
        <v>1.012</v>
      </c>
      <c r="J20" s="364">
        <v>1.012</v>
      </c>
      <c r="K20" s="364">
        <v>1.006</v>
      </c>
      <c r="L20" s="364" t="s">
        <v>34</v>
      </c>
      <c r="M20" s="364" t="s">
        <v>34</v>
      </c>
      <c r="N20" s="364" t="s">
        <v>34</v>
      </c>
      <c r="O20" s="364" t="s">
        <v>34</v>
      </c>
      <c r="P20" s="364" t="s">
        <v>34</v>
      </c>
      <c r="Q20" s="364" t="s">
        <v>34</v>
      </c>
    </row>
    <row r="21" spans="1:17" ht="13.15" customHeight="1">
      <c r="A21" s="12">
        <f t="shared" si="0"/>
        <v>2011</v>
      </c>
      <c r="B21" s="364">
        <v>1.9970000000000001</v>
      </c>
      <c r="C21" s="364">
        <v>1.2769999999999999</v>
      </c>
      <c r="D21" s="364">
        <v>1.133</v>
      </c>
      <c r="E21" s="364">
        <v>1.0609999999999999</v>
      </c>
      <c r="F21" s="364">
        <v>1.0369999999999999</v>
      </c>
      <c r="G21" s="364">
        <v>1.022</v>
      </c>
      <c r="H21" s="364">
        <v>1.0189999999999999</v>
      </c>
      <c r="I21" s="364">
        <v>1.0109999999999999</v>
      </c>
      <c r="J21" s="364">
        <v>1.008</v>
      </c>
      <c r="K21" s="364" t="s">
        <v>34</v>
      </c>
      <c r="L21" s="364" t="s">
        <v>34</v>
      </c>
      <c r="M21" s="364" t="s">
        <v>34</v>
      </c>
      <c r="N21" s="364" t="s">
        <v>34</v>
      </c>
      <c r="O21" s="364" t="s">
        <v>34</v>
      </c>
      <c r="P21" s="364" t="s">
        <v>34</v>
      </c>
      <c r="Q21" s="364" t="s">
        <v>34</v>
      </c>
    </row>
    <row r="22" spans="1:17" ht="13.15" customHeight="1">
      <c r="A22" s="12">
        <f t="shared" si="0"/>
        <v>2012</v>
      </c>
      <c r="B22" s="364">
        <v>1.992</v>
      </c>
      <c r="C22" s="364">
        <v>1.2789999999999999</v>
      </c>
      <c r="D22" s="364">
        <v>1.113</v>
      </c>
      <c r="E22" s="364">
        <v>1.0629999999999999</v>
      </c>
      <c r="F22" s="364">
        <v>1.0409999999999999</v>
      </c>
      <c r="G22" s="364">
        <v>1.0229999999999999</v>
      </c>
      <c r="H22" s="364">
        <v>1.016</v>
      </c>
      <c r="I22" s="364">
        <v>1.0129999999999999</v>
      </c>
      <c r="J22" s="364" t="s">
        <v>34</v>
      </c>
      <c r="K22" s="364" t="s">
        <v>34</v>
      </c>
      <c r="L22" s="364" t="s">
        <v>34</v>
      </c>
      <c r="M22" s="364" t="s">
        <v>34</v>
      </c>
      <c r="N22" s="364" t="s">
        <v>34</v>
      </c>
      <c r="O22" s="364" t="s">
        <v>34</v>
      </c>
      <c r="P22" s="364" t="s">
        <v>34</v>
      </c>
      <c r="Q22" s="364" t="s">
        <v>34</v>
      </c>
    </row>
    <row r="23" spans="1:17" ht="13.15" customHeight="1">
      <c r="A23" s="12">
        <f t="shared" si="0"/>
        <v>2013</v>
      </c>
      <c r="B23" s="364">
        <v>1.931</v>
      </c>
      <c r="C23" s="364">
        <v>1.2589999999999999</v>
      </c>
      <c r="D23" s="364">
        <v>1.111</v>
      </c>
      <c r="E23" s="364">
        <v>1.0549999999999999</v>
      </c>
      <c r="F23" s="364">
        <v>1.032</v>
      </c>
      <c r="G23" s="364">
        <v>1.02</v>
      </c>
      <c r="H23" s="364">
        <v>1.0129999999999999</v>
      </c>
      <c r="I23" s="364" t="s">
        <v>34</v>
      </c>
      <c r="J23" s="364" t="s">
        <v>34</v>
      </c>
      <c r="K23" s="364" t="s">
        <v>34</v>
      </c>
      <c r="L23" s="364" t="s">
        <v>34</v>
      </c>
      <c r="M23" s="364" t="s">
        <v>34</v>
      </c>
      <c r="N23" s="364" t="s">
        <v>34</v>
      </c>
      <c r="O23" s="364" t="s">
        <v>34</v>
      </c>
      <c r="P23" s="364" t="s">
        <v>34</v>
      </c>
      <c r="Q23" s="364" t="s">
        <v>34</v>
      </c>
    </row>
    <row r="24" spans="1:17" ht="13.15" customHeight="1">
      <c r="A24" s="12">
        <f t="shared" si="0"/>
        <v>2014</v>
      </c>
      <c r="B24" s="364">
        <v>1.96</v>
      </c>
      <c r="C24" s="364">
        <v>1.278</v>
      </c>
      <c r="D24" s="364">
        <v>1.115</v>
      </c>
      <c r="E24" s="364">
        <v>1.0589999999999999</v>
      </c>
      <c r="F24" s="364">
        <v>1.0289999999999999</v>
      </c>
      <c r="G24" s="364">
        <v>1.016</v>
      </c>
      <c r="H24" s="364" t="s">
        <v>34</v>
      </c>
      <c r="I24" s="364" t="s">
        <v>34</v>
      </c>
      <c r="J24" s="364" t="s">
        <v>34</v>
      </c>
      <c r="K24" s="364" t="s">
        <v>34</v>
      </c>
      <c r="L24" s="364" t="s">
        <v>34</v>
      </c>
      <c r="M24" s="364" t="s">
        <v>34</v>
      </c>
      <c r="N24" s="364" t="s">
        <v>34</v>
      </c>
      <c r="O24" s="364" t="s">
        <v>34</v>
      </c>
      <c r="P24" s="364" t="s">
        <v>34</v>
      </c>
      <c r="Q24" s="364" t="s">
        <v>34</v>
      </c>
    </row>
    <row r="25" spans="1:17" ht="13.15" customHeight="1">
      <c r="A25" s="12">
        <f t="shared" si="0"/>
        <v>2015</v>
      </c>
      <c r="B25" s="364">
        <v>1.9690000000000001</v>
      </c>
      <c r="C25" s="364">
        <v>1.26</v>
      </c>
      <c r="D25" s="364">
        <v>1.101</v>
      </c>
      <c r="E25" s="364">
        <v>1.0469999999999999</v>
      </c>
      <c r="F25" s="364">
        <v>1.0269999999999999</v>
      </c>
      <c r="G25" s="364" t="s">
        <v>34</v>
      </c>
      <c r="H25" s="364" t="s">
        <v>34</v>
      </c>
      <c r="I25" s="364" t="s">
        <v>34</v>
      </c>
      <c r="J25" s="364" t="s">
        <v>34</v>
      </c>
      <c r="K25" s="364" t="s">
        <v>34</v>
      </c>
      <c r="L25" s="364" t="s">
        <v>34</v>
      </c>
      <c r="M25" s="364" t="s">
        <v>34</v>
      </c>
      <c r="N25" s="364" t="s">
        <v>34</v>
      </c>
      <c r="O25" s="364" t="s">
        <v>34</v>
      </c>
      <c r="P25" s="364" t="s">
        <v>34</v>
      </c>
      <c r="Q25" s="364" t="s">
        <v>34</v>
      </c>
    </row>
    <row r="26" spans="1:17" ht="13.15" customHeight="1">
      <c r="A26" s="12">
        <f t="shared" si="0"/>
        <v>2016</v>
      </c>
      <c r="B26" s="364">
        <v>1.9410000000000001</v>
      </c>
      <c r="C26" s="364">
        <v>1.246</v>
      </c>
      <c r="D26" s="364">
        <v>1.095</v>
      </c>
      <c r="E26" s="364">
        <v>1.046</v>
      </c>
      <c r="F26" s="364" t="s">
        <v>34</v>
      </c>
      <c r="G26" s="364" t="s">
        <v>34</v>
      </c>
      <c r="H26" s="364" t="s">
        <v>34</v>
      </c>
      <c r="I26" s="364" t="s">
        <v>34</v>
      </c>
      <c r="J26" s="364" t="s">
        <v>34</v>
      </c>
      <c r="K26" s="364" t="s">
        <v>34</v>
      </c>
      <c r="L26" s="364" t="s">
        <v>34</v>
      </c>
      <c r="M26" s="364" t="s">
        <v>34</v>
      </c>
      <c r="N26" s="364" t="s">
        <v>34</v>
      </c>
      <c r="O26" s="364" t="s">
        <v>34</v>
      </c>
      <c r="P26" s="364" t="s">
        <v>34</v>
      </c>
      <c r="Q26" s="364" t="s">
        <v>34</v>
      </c>
    </row>
    <row r="27" spans="1:17" ht="13.15" customHeight="1">
      <c r="A27" s="12">
        <f t="shared" si="0"/>
        <v>2017</v>
      </c>
      <c r="B27" s="364">
        <v>1.911</v>
      </c>
      <c r="C27" s="364">
        <v>1.2410000000000001</v>
      </c>
      <c r="D27" s="364">
        <v>1.089</v>
      </c>
      <c r="E27" s="364" t="s">
        <v>34</v>
      </c>
      <c r="F27" s="364" t="s">
        <v>34</v>
      </c>
      <c r="G27" s="364" t="s">
        <v>34</v>
      </c>
      <c r="H27" s="364" t="s">
        <v>34</v>
      </c>
      <c r="I27" s="364" t="s">
        <v>34</v>
      </c>
      <c r="J27" s="364" t="s">
        <v>34</v>
      </c>
      <c r="K27" s="364" t="s">
        <v>34</v>
      </c>
      <c r="L27" s="364" t="s">
        <v>34</v>
      </c>
      <c r="M27" s="364" t="s">
        <v>34</v>
      </c>
      <c r="N27" s="364" t="s">
        <v>34</v>
      </c>
      <c r="O27" s="364" t="s">
        <v>34</v>
      </c>
      <c r="P27" s="364" t="s">
        <v>34</v>
      </c>
      <c r="Q27" s="364" t="s">
        <v>34</v>
      </c>
    </row>
    <row r="28" spans="1:17" ht="13.15" customHeight="1">
      <c r="A28" s="12">
        <f t="shared" si="0"/>
        <v>2018</v>
      </c>
      <c r="B28" s="364">
        <v>1.901</v>
      </c>
      <c r="C28" s="364">
        <v>1.228</v>
      </c>
      <c r="D28" s="364" t="s">
        <v>34</v>
      </c>
      <c r="E28" s="364" t="s">
        <v>34</v>
      </c>
      <c r="F28" s="364" t="s">
        <v>34</v>
      </c>
      <c r="G28" s="364" t="s">
        <v>34</v>
      </c>
      <c r="H28" s="364" t="s">
        <v>34</v>
      </c>
      <c r="I28" s="364" t="s">
        <v>34</v>
      </c>
      <c r="J28" s="364" t="s">
        <v>34</v>
      </c>
      <c r="K28" s="364" t="s">
        <v>34</v>
      </c>
      <c r="L28" s="364" t="s">
        <v>34</v>
      </c>
      <c r="M28" s="364" t="s">
        <v>34</v>
      </c>
      <c r="N28" s="364" t="s">
        <v>34</v>
      </c>
      <c r="O28" s="364" t="s">
        <v>34</v>
      </c>
      <c r="P28" s="364" t="s">
        <v>34</v>
      </c>
      <c r="Q28" s="364" t="s">
        <v>34</v>
      </c>
    </row>
    <row r="29" spans="1:17" ht="13.15" customHeight="1">
      <c r="A29" s="12">
        <v>2019</v>
      </c>
      <c r="B29" s="364">
        <v>1.9</v>
      </c>
      <c r="C29" s="364" t="s">
        <v>34</v>
      </c>
      <c r="D29" s="364" t="s">
        <v>34</v>
      </c>
      <c r="E29" s="364" t="s">
        <v>34</v>
      </c>
      <c r="F29" s="364" t="s">
        <v>34</v>
      </c>
      <c r="G29" s="364" t="s">
        <v>34</v>
      </c>
      <c r="H29" s="364" t="s">
        <v>34</v>
      </c>
      <c r="I29" s="364" t="s">
        <v>34</v>
      </c>
      <c r="J29" s="364" t="s">
        <v>34</v>
      </c>
      <c r="K29" s="364" t="s">
        <v>34</v>
      </c>
      <c r="L29" s="364" t="s">
        <v>34</v>
      </c>
      <c r="M29" s="364" t="s">
        <v>34</v>
      </c>
      <c r="N29" s="364" t="s">
        <v>34</v>
      </c>
      <c r="O29" s="364" t="s">
        <v>34</v>
      </c>
      <c r="P29" s="364" t="s">
        <v>34</v>
      </c>
      <c r="Q29" s="364" t="s">
        <v>34</v>
      </c>
    </row>
    <row r="30" spans="1:17" ht="13.15" customHeight="1">
      <c r="B30" s="120"/>
      <c r="C30" s="120"/>
      <c r="D30" s="120"/>
      <c r="E30" s="120"/>
      <c r="F30" s="120"/>
      <c r="G30" s="120"/>
      <c r="H30" s="120"/>
      <c r="I30" s="13"/>
      <c r="J30" s="120"/>
      <c r="K30" s="120"/>
      <c r="L30" s="120"/>
      <c r="M30" s="120"/>
      <c r="N30" s="120"/>
      <c r="O30" s="120"/>
      <c r="P30" s="120"/>
    </row>
    <row r="31" spans="1:17" ht="13.15" customHeight="1">
      <c r="A31" s="12" t="s">
        <v>20</v>
      </c>
      <c r="B31" s="376">
        <f>+ROUND(B29,3)</f>
        <v>1.9</v>
      </c>
      <c r="C31" s="376">
        <f>+ROUND(C28,3)</f>
        <v>1.228</v>
      </c>
      <c r="D31" s="376">
        <f>ROUND(D27,3)</f>
        <v>1.089</v>
      </c>
      <c r="E31" s="376">
        <f>ROUND(E26,3)</f>
        <v>1.046</v>
      </c>
      <c r="F31" s="376">
        <f>ROUND(F25,3)</f>
        <v>1.0269999999999999</v>
      </c>
      <c r="G31" s="376">
        <f>ROUND(G24,3)</f>
        <v>1.016</v>
      </c>
      <c r="H31" s="376">
        <f>ROUND(H23,3)</f>
        <v>1.0129999999999999</v>
      </c>
      <c r="I31" s="376">
        <f>ROUND(I22,3)</f>
        <v>1.0129999999999999</v>
      </c>
      <c r="J31" s="376">
        <f>AVERAGE(J16:J21)</f>
        <v>1.0096666666666665</v>
      </c>
      <c r="K31" s="376">
        <f>AVERAGE(K15:K20)</f>
        <v>1.0066666666666666</v>
      </c>
      <c r="L31" s="376">
        <f>AVERAGE(L14:L19)</f>
        <v>1.0058333333333331</v>
      </c>
      <c r="M31" s="376">
        <f>AVERAGE(M13:M18)</f>
        <v>1.0056666666666667</v>
      </c>
      <c r="N31" s="376">
        <f>AVERAGE(N12:N17)</f>
        <v>1.0019999999999998</v>
      </c>
      <c r="O31" s="376">
        <f>AVERAGE(O11:O16)</f>
        <v>1.0028333333333335</v>
      </c>
      <c r="P31" s="376">
        <f>AVERAGE(P10:P15)</f>
        <v>1.0030000000000001</v>
      </c>
      <c r="Q31" s="376">
        <f>AVERAGE(Q9:Q14)</f>
        <v>1.0014999999999998</v>
      </c>
    </row>
    <row r="32" spans="1:17" ht="13.15" customHeight="1">
      <c r="A32" s="12" t="s">
        <v>21</v>
      </c>
      <c r="B32" s="13">
        <f t="shared" ref="B32:O32" si="1">C32*B31</f>
        <v>2.9962925706405876</v>
      </c>
      <c r="C32" s="13">
        <f t="shared" si="1"/>
        <v>1.5769960898108357</v>
      </c>
      <c r="D32" s="13">
        <f t="shared" si="1"/>
        <v>1.2841987702042637</v>
      </c>
      <c r="E32" s="13">
        <f t="shared" si="1"/>
        <v>1.179245886321638</v>
      </c>
      <c r="F32" s="13">
        <f t="shared" si="1"/>
        <v>1.1273861245904759</v>
      </c>
      <c r="G32" s="13">
        <f t="shared" si="1"/>
        <v>1.0977469567580098</v>
      </c>
      <c r="H32" s="13">
        <f t="shared" si="1"/>
        <v>1.0804596031082774</v>
      </c>
      <c r="I32" s="13">
        <f t="shared" si="1"/>
        <v>1.0665938826340351</v>
      </c>
      <c r="J32" s="13">
        <f t="shared" si="1"/>
        <v>1.052906103291249</v>
      </c>
      <c r="K32" s="13">
        <f t="shared" si="1"/>
        <v>1.0428254572049349</v>
      </c>
      <c r="L32" s="13">
        <f t="shared" si="1"/>
        <v>1.0359193283492731</v>
      </c>
      <c r="M32" s="13">
        <f t="shared" si="1"/>
        <v>1.0299115112006032</v>
      </c>
      <c r="N32" s="13">
        <f t="shared" si="1"/>
        <v>1.0241082312236691</v>
      </c>
      <c r="O32" s="13">
        <f t="shared" si="1"/>
        <v>1.0220641030176341</v>
      </c>
      <c r="P32" s="13">
        <f>Q32*P31</f>
        <v>1.0191764364476987</v>
      </c>
      <c r="Q32" s="13">
        <f>'Exhibit 2.1.2'!B29*'Exhibit 2.1.1'!Q31</f>
        <v>1.016128052290826</v>
      </c>
    </row>
    <row r="33" spans="1:16" ht="13.15" customHeight="1">
      <c r="A33" s="120"/>
      <c r="B33" s="120"/>
      <c r="C33" s="120"/>
      <c r="D33" s="120"/>
      <c r="E33" s="120"/>
      <c r="F33" s="120"/>
      <c r="G33" s="120"/>
      <c r="H33" s="120"/>
      <c r="I33" s="120"/>
      <c r="J33" s="120"/>
      <c r="K33" s="120"/>
      <c r="L33" s="120"/>
      <c r="M33" s="120"/>
      <c r="N33" s="120"/>
      <c r="O33" s="120"/>
      <c r="P33" s="120"/>
    </row>
    <row r="34" spans="1:16" ht="13.15" customHeight="1">
      <c r="A34" s="9" t="s">
        <v>22</v>
      </c>
      <c r="B34" s="152" t="s">
        <v>470</v>
      </c>
      <c r="C34" s="148"/>
      <c r="D34" s="148"/>
      <c r="E34" s="148"/>
      <c r="F34" s="148"/>
      <c r="G34" s="148"/>
      <c r="H34" s="148"/>
      <c r="I34" s="148"/>
      <c r="J34" s="148"/>
      <c r="K34" s="148"/>
      <c r="L34" s="148"/>
      <c r="M34" s="148"/>
      <c r="N34" s="148"/>
      <c r="O34" s="148"/>
      <c r="P34" s="148"/>
    </row>
  </sheetData>
  <sheetProtection selectLockedCells="1" selectUnlockedCells="1"/>
  <printOptions horizontalCentered="1"/>
  <pageMargins left="0.7" right="0.7" top="0.75" bottom="0.75" header="0.3" footer="0.3"/>
  <pageSetup scale="88" orientation="landscape" blackAndWhite="1" r:id="rId1"/>
  <headerFooter scaleWithDoc="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pageSetUpPr fitToPage="1"/>
  </sheetPr>
  <dimension ref="A1:L50"/>
  <sheetViews>
    <sheetView zoomScaleNormal="100" zoomScaleSheetLayoutView="85" workbookViewId="0"/>
  </sheetViews>
  <sheetFormatPr defaultColWidth="9.1796875" defaultRowHeight="12.5"/>
  <cols>
    <col min="1" max="1" width="9.1796875" style="174"/>
    <col min="2" max="2" width="15.26953125" style="44" bestFit="1" customWidth="1"/>
    <col min="3" max="3" width="2.7265625" style="44" customWidth="1"/>
    <col min="4" max="4" width="15.26953125" style="44" bestFit="1" customWidth="1"/>
    <col min="5" max="5" width="3.26953125" style="44" customWidth="1"/>
    <col min="6" max="6" width="7.7265625" style="44" customWidth="1"/>
    <col min="7" max="7" width="13.7265625" style="44" customWidth="1"/>
    <col min="8" max="8" width="7.453125" style="44" customWidth="1"/>
    <col min="9" max="9" width="13.7265625" style="44" customWidth="1"/>
    <col min="10" max="10" width="7.7265625" style="44" customWidth="1"/>
    <col min="11" max="11" width="6.26953125" style="174" customWidth="1"/>
    <col min="12" max="12" width="14.81640625" style="174" bestFit="1" customWidth="1"/>
    <col min="13" max="16384" width="9.1796875" style="174"/>
  </cols>
  <sheetData>
    <row r="1" spans="1:12" ht="13">
      <c r="A1" s="213" t="s">
        <v>79</v>
      </c>
      <c r="B1" s="38"/>
      <c r="C1" s="38"/>
      <c r="D1" s="38"/>
      <c r="E1" s="38"/>
      <c r="F1" s="38"/>
      <c r="G1" s="38"/>
      <c r="H1" s="38"/>
      <c r="I1" s="38"/>
      <c r="J1" s="38"/>
      <c r="K1" s="25"/>
      <c r="L1" s="25"/>
    </row>
    <row r="2" spans="1:12" ht="22.15" customHeight="1">
      <c r="A2" s="44"/>
      <c r="K2" s="44"/>
      <c r="L2" s="44"/>
    </row>
    <row r="3" spans="1:12">
      <c r="A3" s="44"/>
      <c r="B3" s="40" t="s">
        <v>45</v>
      </c>
      <c r="C3" s="40"/>
      <c r="D3" s="40" t="s">
        <v>46</v>
      </c>
      <c r="E3" s="40"/>
      <c r="F3" s="40" t="s">
        <v>47</v>
      </c>
      <c r="H3" s="40" t="s">
        <v>48</v>
      </c>
      <c r="J3" s="40" t="s">
        <v>50</v>
      </c>
      <c r="K3" s="44"/>
      <c r="L3" s="40" t="s">
        <v>51</v>
      </c>
    </row>
    <row r="4" spans="1:12">
      <c r="A4" s="44"/>
      <c r="B4" s="39" t="s">
        <v>80</v>
      </c>
      <c r="C4" s="39"/>
      <c r="D4" s="39" t="s">
        <v>80</v>
      </c>
      <c r="E4" s="39"/>
      <c r="F4" s="39" t="s">
        <v>81</v>
      </c>
      <c r="G4" s="39"/>
      <c r="H4" s="39"/>
      <c r="J4" s="39" t="s">
        <v>81</v>
      </c>
      <c r="K4" s="44"/>
      <c r="L4" s="39" t="s">
        <v>63</v>
      </c>
    </row>
    <row r="5" spans="1:12">
      <c r="A5" s="44"/>
      <c r="B5" s="39" t="s">
        <v>5</v>
      </c>
      <c r="C5" s="39"/>
      <c r="D5" s="39" t="s">
        <v>84</v>
      </c>
      <c r="E5" s="39"/>
      <c r="F5" s="39" t="s">
        <v>85</v>
      </c>
      <c r="G5" s="39"/>
      <c r="H5" s="39" t="s">
        <v>86</v>
      </c>
      <c r="J5" s="39" t="s">
        <v>87</v>
      </c>
      <c r="K5" s="44"/>
      <c r="L5" s="39" t="s">
        <v>88</v>
      </c>
    </row>
    <row r="6" spans="1:12">
      <c r="A6" s="53" t="s">
        <v>54</v>
      </c>
      <c r="B6" s="39" t="s">
        <v>89</v>
      </c>
      <c r="C6" s="39"/>
      <c r="D6" s="39" t="s">
        <v>89</v>
      </c>
      <c r="E6" s="39"/>
      <c r="F6" s="39" t="s">
        <v>90</v>
      </c>
      <c r="G6" s="39"/>
      <c r="H6" s="39" t="s">
        <v>5</v>
      </c>
      <c r="J6" s="39" t="s">
        <v>91</v>
      </c>
      <c r="K6" s="44"/>
      <c r="L6" s="39" t="s">
        <v>92</v>
      </c>
    </row>
    <row r="7" spans="1:12" ht="14.9" customHeight="1">
      <c r="A7" s="41" t="s">
        <v>8</v>
      </c>
      <c r="B7" s="41" t="s">
        <v>93</v>
      </c>
      <c r="C7" s="41"/>
      <c r="D7" s="41" t="s">
        <v>93</v>
      </c>
      <c r="E7" s="39"/>
      <c r="F7" s="41" t="s">
        <v>94</v>
      </c>
      <c r="G7" s="39"/>
      <c r="H7" s="41" t="s">
        <v>95</v>
      </c>
      <c r="J7" s="41" t="s">
        <v>96</v>
      </c>
      <c r="K7" s="44"/>
      <c r="L7" s="41" t="s">
        <v>97</v>
      </c>
    </row>
    <row r="8" spans="1:12" ht="14.65" customHeight="1">
      <c r="A8" s="39">
        <f>+'Exhibit 4.1'!B9</f>
        <v>1987</v>
      </c>
      <c r="B8" s="262">
        <v>0.61</v>
      </c>
      <c r="C8" s="29"/>
      <c r="D8" s="29">
        <f t="shared" ref="D8:D40" si="0">1-B8</f>
        <v>0.39</v>
      </c>
      <c r="E8" s="39"/>
      <c r="F8" s="395">
        <v>8.9999999999999993E-3</v>
      </c>
      <c r="G8" s="381"/>
      <c r="H8" s="395">
        <v>7.3999999999999996E-2</v>
      </c>
      <c r="I8" s="381"/>
      <c r="J8" s="395">
        <v>2.8999999999999915E-2</v>
      </c>
      <c r="K8" s="39"/>
      <c r="L8" s="264">
        <f t="shared" ref="L8:L37" si="1">F8+J8</f>
        <v>3.7999999999999916E-2</v>
      </c>
    </row>
    <row r="9" spans="1:12" ht="14.65" customHeight="1">
      <c r="A9" s="39">
        <f>+'Exhibit 4.1'!B10</f>
        <v>1988</v>
      </c>
      <c r="B9" s="262">
        <v>0.64900000000000002</v>
      </c>
      <c r="C9" s="29"/>
      <c r="D9" s="29">
        <f t="shared" si="0"/>
        <v>0.35099999999999998</v>
      </c>
      <c r="E9" s="39"/>
      <c r="F9" s="395">
        <v>8.0000000000000002E-3</v>
      </c>
      <c r="G9" s="381"/>
      <c r="H9" s="395">
        <v>7.6999999999999999E-2</v>
      </c>
      <c r="I9" s="381"/>
      <c r="J9" s="397">
        <f t="shared" ref="J9:J44" si="2">ROUND(B8*1+D8*(H9+1)-1,3)</f>
        <v>0.03</v>
      </c>
      <c r="K9" s="39"/>
      <c r="L9" s="264">
        <f t="shared" si="1"/>
        <v>3.7999999999999999E-2</v>
      </c>
    </row>
    <row r="10" spans="1:12" ht="14.65" customHeight="1">
      <c r="A10" s="39">
        <f>+'Exhibit 4.1'!B11</f>
        <v>1989</v>
      </c>
      <c r="B10" s="262">
        <v>0.64700000000000002</v>
      </c>
      <c r="C10" s="29"/>
      <c r="D10" s="29">
        <f t="shared" si="0"/>
        <v>0.35299999999999998</v>
      </c>
      <c r="E10" s="39"/>
      <c r="F10" s="395">
        <v>0</v>
      </c>
      <c r="G10" s="381"/>
      <c r="H10" s="395">
        <v>8.5999999999999993E-2</v>
      </c>
      <c r="I10" s="381"/>
      <c r="J10" s="397">
        <f t="shared" si="2"/>
        <v>0.03</v>
      </c>
      <c r="K10" s="39"/>
      <c r="L10" s="264">
        <f t="shared" si="1"/>
        <v>0.03</v>
      </c>
    </row>
    <row r="11" spans="1:12" ht="14.65" customHeight="1">
      <c r="A11" s="39">
        <f>+'Exhibit 4.1'!B12</f>
        <v>1990</v>
      </c>
      <c r="B11" s="262">
        <v>0.66100000000000003</v>
      </c>
      <c r="C11" s="29"/>
      <c r="D11" s="29">
        <f t="shared" si="0"/>
        <v>0.33899999999999997</v>
      </c>
      <c r="E11" s="39"/>
      <c r="F11" s="395">
        <v>0</v>
      </c>
      <c r="G11" s="381"/>
      <c r="H11" s="395">
        <v>0.104</v>
      </c>
      <c r="I11" s="381"/>
      <c r="J11" s="397">
        <f t="shared" si="2"/>
        <v>3.6999999999999998E-2</v>
      </c>
      <c r="K11" s="39"/>
      <c r="L11" s="264">
        <f t="shared" si="1"/>
        <v>3.6999999999999998E-2</v>
      </c>
    </row>
    <row r="12" spans="1:12" ht="14.65" customHeight="1">
      <c r="A12" s="39">
        <f>+'Exhibit 4.1'!B13</f>
        <v>1991</v>
      </c>
      <c r="B12" s="262">
        <v>0.63100000000000001</v>
      </c>
      <c r="C12" s="29"/>
      <c r="D12" s="29">
        <f t="shared" si="0"/>
        <v>0.36899999999999999</v>
      </c>
      <c r="E12" s="39"/>
      <c r="F12" s="395">
        <v>0</v>
      </c>
      <c r="G12" s="381"/>
      <c r="H12" s="395">
        <v>0.106</v>
      </c>
      <c r="I12" s="381"/>
      <c r="J12" s="397">
        <f t="shared" si="2"/>
        <v>3.5999999999999997E-2</v>
      </c>
      <c r="K12" s="39"/>
      <c r="L12" s="264">
        <f t="shared" si="1"/>
        <v>3.5999999999999997E-2</v>
      </c>
    </row>
    <row r="13" spans="1:12" ht="14.65" customHeight="1">
      <c r="A13" s="39">
        <f>+'Exhibit 4.1'!B14</f>
        <v>1992</v>
      </c>
      <c r="B13" s="262">
        <v>0.628</v>
      </c>
      <c r="C13" s="29"/>
      <c r="D13" s="29">
        <f t="shared" si="0"/>
        <v>0.372</v>
      </c>
      <c r="E13" s="39"/>
      <c r="F13" s="395">
        <v>0</v>
      </c>
      <c r="G13" s="381"/>
      <c r="H13" s="395">
        <v>8.1000000000000003E-2</v>
      </c>
      <c r="I13" s="381"/>
      <c r="J13" s="397">
        <f t="shared" si="2"/>
        <v>0.03</v>
      </c>
      <c r="K13" s="39"/>
      <c r="L13" s="264">
        <f t="shared" si="1"/>
        <v>0.03</v>
      </c>
    </row>
    <row r="14" spans="1:12" ht="14.65" customHeight="1">
      <c r="A14" s="39">
        <f>+'Exhibit 4.1'!B15</f>
        <v>1993</v>
      </c>
      <c r="B14" s="262">
        <v>0.56499999999999995</v>
      </c>
      <c r="C14" s="29"/>
      <c r="D14" s="29">
        <f t="shared" si="0"/>
        <v>0.43500000000000005</v>
      </c>
      <c r="E14" s="39"/>
      <c r="F14" s="395">
        <v>0</v>
      </c>
      <c r="G14" s="381"/>
      <c r="H14" s="395">
        <v>7.2999999999999995E-2</v>
      </c>
      <c r="I14" s="381"/>
      <c r="J14" s="397">
        <f t="shared" si="2"/>
        <v>2.7E-2</v>
      </c>
      <c r="K14" s="39"/>
      <c r="L14" s="264">
        <f t="shared" si="1"/>
        <v>2.7E-2</v>
      </c>
    </row>
    <row r="15" spans="1:12" ht="14.65" customHeight="1">
      <c r="A15" s="39">
        <f>+'Exhibit 4.1'!B16</f>
        <v>1994</v>
      </c>
      <c r="B15" s="262">
        <v>0.69100000000000006</v>
      </c>
      <c r="C15" s="29"/>
      <c r="D15" s="29">
        <f t="shared" si="0"/>
        <v>0.30899999999999994</v>
      </c>
      <c r="E15" s="39"/>
      <c r="F15" s="395">
        <v>-3.5999999999999997E-2</v>
      </c>
      <c r="G15" s="381"/>
      <c r="H15" s="395">
        <v>4.2999999999999997E-2</v>
      </c>
      <c r="I15" s="381"/>
      <c r="J15" s="397">
        <f>ROUND((B14+0.138)*1+(D14-0.138)*(H15+1)-1,3)</f>
        <v>1.2999999999999999E-2</v>
      </c>
      <c r="K15" s="214" t="s">
        <v>98</v>
      </c>
      <c r="L15" s="264">
        <f t="shared" si="1"/>
        <v>-2.3E-2</v>
      </c>
    </row>
    <row r="16" spans="1:12" ht="14.65" customHeight="1">
      <c r="A16" s="39">
        <f>+'Exhibit 4.1'!B17</f>
        <v>1995</v>
      </c>
      <c r="B16" s="262">
        <v>0.6811594202898551</v>
      </c>
      <c r="C16" s="29"/>
      <c r="D16" s="29">
        <f t="shared" si="0"/>
        <v>0.3188405797101449</v>
      </c>
      <c r="E16" s="39"/>
      <c r="F16" s="395">
        <v>0</v>
      </c>
      <c r="G16" s="381"/>
      <c r="H16" s="395">
        <v>0.03</v>
      </c>
      <c r="I16" s="381"/>
      <c r="J16" s="397">
        <f t="shared" si="2"/>
        <v>8.9999999999999993E-3</v>
      </c>
      <c r="K16" s="39"/>
      <c r="L16" s="264">
        <f t="shared" si="1"/>
        <v>8.9999999999999993E-3</v>
      </c>
    </row>
    <row r="17" spans="1:12" ht="14.65" customHeight="1">
      <c r="A17" s="39">
        <f>+'Exhibit 4.1'!B18</f>
        <v>1996</v>
      </c>
      <c r="B17" s="262">
        <v>0.66277712952158685</v>
      </c>
      <c r="C17" s="29"/>
      <c r="D17" s="29">
        <f t="shared" si="0"/>
        <v>0.33722287047841315</v>
      </c>
      <c r="E17" s="39"/>
      <c r="F17" s="395">
        <v>0</v>
      </c>
      <c r="G17" s="381"/>
      <c r="H17" s="395">
        <v>0.03</v>
      </c>
      <c r="I17" s="381"/>
      <c r="J17" s="397">
        <f t="shared" si="2"/>
        <v>0.01</v>
      </c>
      <c r="K17" s="39"/>
      <c r="L17" s="264">
        <f t="shared" si="1"/>
        <v>0.01</v>
      </c>
    </row>
    <row r="18" spans="1:12" ht="14.65" customHeight="1">
      <c r="A18" s="39">
        <f>+'Exhibit 4.1'!B19</f>
        <v>1997</v>
      </c>
      <c r="B18" s="262">
        <v>0.64316702819956606</v>
      </c>
      <c r="C18" s="29"/>
      <c r="D18" s="29">
        <f t="shared" si="0"/>
        <v>0.35683297180043394</v>
      </c>
      <c r="E18" s="39"/>
      <c r="F18" s="395">
        <v>0</v>
      </c>
      <c r="G18" s="381"/>
      <c r="H18" s="395">
        <v>2.1999999999999999E-2</v>
      </c>
      <c r="I18" s="381"/>
      <c r="J18" s="397">
        <f t="shared" si="2"/>
        <v>7.0000000000000001E-3</v>
      </c>
      <c r="K18" s="39"/>
      <c r="L18" s="264">
        <f t="shared" si="1"/>
        <v>7.0000000000000001E-3</v>
      </c>
    </row>
    <row r="19" spans="1:12" ht="14.65" customHeight="1">
      <c r="A19" s="39">
        <f>+'Exhibit 4.1'!B20</f>
        <v>1998</v>
      </c>
      <c r="B19" s="262">
        <v>0.65840517241379293</v>
      </c>
      <c r="C19" s="29"/>
      <c r="D19" s="29">
        <f t="shared" si="0"/>
        <v>0.34159482758620707</v>
      </c>
      <c r="E19" s="39"/>
      <c r="F19" s="395">
        <v>0</v>
      </c>
      <c r="G19" s="381"/>
      <c r="H19" s="395">
        <v>2.1999999999999999E-2</v>
      </c>
      <c r="I19" s="381"/>
      <c r="J19" s="397">
        <f t="shared" si="2"/>
        <v>8.0000000000000002E-3</v>
      </c>
      <c r="K19" s="39"/>
      <c r="L19" s="264">
        <f t="shared" si="1"/>
        <v>8.0000000000000002E-3</v>
      </c>
    </row>
    <row r="20" spans="1:12" ht="14.65" customHeight="1">
      <c r="A20" s="39">
        <f>+'Exhibit 4.1'!B21</f>
        <v>1999</v>
      </c>
      <c r="B20" s="262">
        <v>0.7276922257720978</v>
      </c>
      <c r="C20" s="29"/>
      <c r="D20" s="29">
        <f t="shared" si="0"/>
        <v>0.2723077742279022</v>
      </c>
      <c r="E20" s="39"/>
      <c r="F20" s="395">
        <v>1.6E-2</v>
      </c>
      <c r="G20" s="381"/>
      <c r="H20" s="395">
        <v>3.3000000000000002E-2</v>
      </c>
      <c r="I20" s="381"/>
      <c r="J20" s="397">
        <f>ROUND((B19+0.077)*1+(D19-0.077)*(H20+1)-1,3)</f>
        <v>8.9999999999999993E-3</v>
      </c>
      <c r="K20" s="214" t="s">
        <v>99</v>
      </c>
      <c r="L20" s="264">
        <f t="shared" si="1"/>
        <v>2.5000000000000001E-2</v>
      </c>
    </row>
    <row r="21" spans="1:12" ht="14.65" customHeight="1">
      <c r="A21" s="39">
        <f>+'Exhibit 4.1'!B22</f>
        <v>2000</v>
      </c>
      <c r="B21" s="262">
        <v>0.71538812301166488</v>
      </c>
      <c r="C21" s="29"/>
      <c r="D21" s="29">
        <f t="shared" si="0"/>
        <v>0.28461187698833512</v>
      </c>
      <c r="E21" s="39"/>
      <c r="F21" s="395">
        <v>5.0000000000000001E-3</v>
      </c>
      <c r="G21" s="381"/>
      <c r="H21" s="395">
        <v>4.2999999999999997E-2</v>
      </c>
      <c r="I21" s="381"/>
      <c r="J21" s="397">
        <f t="shared" si="2"/>
        <v>1.2E-2</v>
      </c>
      <c r="K21" s="214"/>
      <c r="L21" s="264">
        <f t="shared" si="1"/>
        <v>1.7000000000000001E-2</v>
      </c>
    </row>
    <row r="22" spans="1:12" ht="14.65" customHeight="1">
      <c r="A22" s="39">
        <f>+'Exhibit 4.1'!B23</f>
        <v>2001</v>
      </c>
      <c r="B22" s="262">
        <v>0.7223189655172414</v>
      </c>
      <c r="C22" s="29"/>
      <c r="D22" s="29">
        <f t="shared" si="0"/>
        <v>0.2776810344827586</v>
      </c>
      <c r="E22" s="39"/>
      <c r="F22" s="395">
        <v>1.4999999999999999E-2</v>
      </c>
      <c r="G22" s="381"/>
      <c r="H22" s="395">
        <v>4.8000000000000001E-2</v>
      </c>
      <c r="I22" s="381"/>
      <c r="J22" s="397">
        <f t="shared" si="2"/>
        <v>1.4E-2</v>
      </c>
      <c r="K22" s="214"/>
      <c r="L22" s="264">
        <f t="shared" si="1"/>
        <v>2.8999999999999998E-2</v>
      </c>
    </row>
    <row r="23" spans="1:12" ht="14.65" customHeight="1">
      <c r="A23" s="39">
        <f>+'Exhibit 4.1'!B24</f>
        <v>2002</v>
      </c>
      <c r="B23" s="262">
        <v>0.63467338282078467</v>
      </c>
      <c r="C23" s="29"/>
      <c r="D23" s="29">
        <f t="shared" si="0"/>
        <v>0.36532661717921533</v>
      </c>
      <c r="E23" s="39"/>
      <c r="F23" s="395">
        <v>6.0000000000000001E-3</v>
      </c>
      <c r="G23" s="381"/>
      <c r="H23" s="395">
        <v>5.0999999999999997E-2</v>
      </c>
      <c r="I23" s="381"/>
      <c r="J23" s="397">
        <f t="shared" si="2"/>
        <v>1.4E-2</v>
      </c>
      <c r="K23" s="214"/>
      <c r="L23" s="264">
        <f t="shared" si="1"/>
        <v>0.02</v>
      </c>
    </row>
    <row r="24" spans="1:12" ht="14.65" customHeight="1">
      <c r="A24" s="39">
        <f>+'Exhibit 4.1'!B25</f>
        <v>2003</v>
      </c>
      <c r="B24" s="262">
        <v>0.78608515057113193</v>
      </c>
      <c r="C24" s="29"/>
      <c r="D24" s="29">
        <f t="shared" si="0"/>
        <v>0.21391484942886807</v>
      </c>
      <c r="E24" s="39"/>
      <c r="F24" s="395">
        <v>0</v>
      </c>
      <c r="G24" s="381"/>
      <c r="H24" s="395">
        <v>4.8000000000000001E-2</v>
      </c>
      <c r="I24" s="381"/>
      <c r="J24" s="397">
        <f>ROUND((B23+0.076)*1+(D23-0.076)*(H24+1)-1,3)</f>
        <v>1.4E-2</v>
      </c>
      <c r="K24" s="214" t="s">
        <v>100</v>
      </c>
      <c r="L24" s="264">
        <f t="shared" si="1"/>
        <v>1.4E-2</v>
      </c>
    </row>
    <row r="25" spans="1:12" ht="14.65" customHeight="1">
      <c r="A25" s="39">
        <f>+'Exhibit 4.1'!B26</f>
        <v>2004</v>
      </c>
      <c r="B25" s="262">
        <v>0.95247933884297509</v>
      </c>
      <c r="C25" s="29"/>
      <c r="D25" s="29">
        <f t="shared" si="0"/>
        <v>4.7520661157024913E-2</v>
      </c>
      <c r="E25" s="39"/>
      <c r="F25" s="395">
        <v>0</v>
      </c>
      <c r="G25" s="381"/>
      <c r="H25" s="395">
        <v>0.05</v>
      </c>
      <c r="I25" s="381"/>
      <c r="J25" s="397">
        <f>ROUND((B24+0.172)*1+(D24-0.172)*(0+1)-1,3)</f>
        <v>0</v>
      </c>
      <c r="K25" s="214" t="s">
        <v>101</v>
      </c>
      <c r="L25" s="264">
        <f t="shared" si="1"/>
        <v>0</v>
      </c>
    </row>
    <row r="26" spans="1:12" ht="14.65" customHeight="1">
      <c r="A26" s="39">
        <f>+'Exhibit 4.1'!B27</f>
        <v>2005</v>
      </c>
      <c r="B26" s="262">
        <v>0.9362186788154897</v>
      </c>
      <c r="C26" s="29"/>
      <c r="D26" s="29">
        <f t="shared" si="0"/>
        <v>6.3781321184510298E-2</v>
      </c>
      <c r="E26" s="39"/>
      <c r="F26" s="395">
        <v>0</v>
      </c>
      <c r="G26" s="381"/>
      <c r="H26" s="395">
        <v>4.8000000000000001E-2</v>
      </c>
      <c r="I26" s="381"/>
      <c r="J26" s="397">
        <f>ROUND(B25*1+D25*(0+1)-1,3)</f>
        <v>0</v>
      </c>
      <c r="K26" s="214" t="s">
        <v>102</v>
      </c>
      <c r="L26" s="264">
        <f t="shared" si="1"/>
        <v>0</v>
      </c>
    </row>
    <row r="27" spans="1:12" ht="14.65" customHeight="1">
      <c r="A27" s="39">
        <f>+'Exhibit 4.1'!B28</f>
        <v>2006</v>
      </c>
      <c r="B27" s="262">
        <v>0.92574850299401201</v>
      </c>
      <c r="C27" s="29"/>
      <c r="D27" s="29">
        <f t="shared" si="0"/>
        <v>7.4251497005987988E-2</v>
      </c>
      <c r="E27" s="39"/>
      <c r="F27" s="395">
        <v>0</v>
      </c>
      <c r="G27" s="381"/>
      <c r="H27" s="395">
        <v>4.1000000000000002E-2</v>
      </c>
      <c r="I27" s="381"/>
      <c r="J27" s="397">
        <f t="shared" si="2"/>
        <v>3.0000000000000001E-3</v>
      </c>
      <c r="K27" s="39"/>
      <c r="L27" s="264">
        <f t="shared" si="1"/>
        <v>3.0000000000000001E-3</v>
      </c>
    </row>
    <row r="28" spans="1:12" ht="14.65" customHeight="1">
      <c r="A28" s="39">
        <f>+'Exhibit 4.1'!B29</f>
        <v>2007</v>
      </c>
      <c r="B28" s="262">
        <v>0.9226260257913248</v>
      </c>
      <c r="C28" s="29"/>
      <c r="D28" s="29">
        <f t="shared" si="0"/>
        <v>7.73739742086752E-2</v>
      </c>
      <c r="E28" s="39"/>
      <c r="F28" s="395">
        <v>1.4E-2</v>
      </c>
      <c r="G28" s="381"/>
      <c r="H28" s="395">
        <v>5.2999999999999999E-2</v>
      </c>
      <c r="I28" s="381"/>
      <c r="J28" s="397">
        <f t="shared" si="2"/>
        <v>4.0000000000000001E-3</v>
      </c>
      <c r="K28" s="39"/>
      <c r="L28" s="264">
        <f t="shared" si="1"/>
        <v>1.8000000000000002E-2</v>
      </c>
    </row>
    <row r="29" spans="1:12" ht="14.65" customHeight="1">
      <c r="A29" s="39">
        <f>+'Exhibit 4.1'!B30</f>
        <v>2008</v>
      </c>
      <c r="B29" s="262">
        <v>0.8956109134045076</v>
      </c>
      <c r="C29" s="29"/>
      <c r="D29" s="29">
        <f t="shared" si="0"/>
        <v>0.1043890865954924</v>
      </c>
      <c r="E29" s="39"/>
      <c r="F29" s="395">
        <v>-1E-3</v>
      </c>
      <c r="G29" s="381"/>
      <c r="H29" s="395">
        <v>4.2000000000000003E-2</v>
      </c>
      <c r="I29" s="381"/>
      <c r="J29" s="397">
        <f t="shared" si="2"/>
        <v>3.0000000000000001E-3</v>
      </c>
      <c r="K29" s="39"/>
      <c r="L29" s="264">
        <f t="shared" si="1"/>
        <v>2E-3</v>
      </c>
    </row>
    <row r="30" spans="1:12" ht="14.65" customHeight="1">
      <c r="A30" s="39">
        <f>+'Exhibit 4.1'!B31</f>
        <v>2009</v>
      </c>
      <c r="B30" s="262">
        <v>0.89419354838709675</v>
      </c>
      <c r="C30" s="29"/>
      <c r="D30" s="29">
        <f t="shared" si="0"/>
        <v>0.10580645161290325</v>
      </c>
      <c r="E30" s="39"/>
      <c r="F30" s="395">
        <v>0</v>
      </c>
      <c r="G30" s="381"/>
      <c r="H30" s="395">
        <v>3.5999999999999997E-2</v>
      </c>
      <c r="I30" s="381"/>
      <c r="J30" s="397">
        <f t="shared" si="2"/>
        <v>4.0000000000000001E-3</v>
      </c>
      <c r="K30" s="39"/>
      <c r="L30" s="264">
        <f t="shared" si="1"/>
        <v>4.0000000000000001E-3</v>
      </c>
    </row>
    <row r="31" spans="1:12" ht="14.65" customHeight="1">
      <c r="A31" s="39">
        <f>+'Exhibit 4.1'!B32</f>
        <v>2010</v>
      </c>
      <c r="B31" s="262">
        <v>0.89487179487179502</v>
      </c>
      <c r="C31" s="29"/>
      <c r="D31" s="29">
        <f t="shared" si="0"/>
        <v>0.10512820512820498</v>
      </c>
      <c r="E31" s="39"/>
      <c r="F31" s="395">
        <v>0</v>
      </c>
      <c r="G31" s="381"/>
      <c r="H31" s="395">
        <v>2.8000000000000001E-2</v>
      </c>
      <c r="I31" s="381"/>
      <c r="J31" s="397">
        <f t="shared" si="2"/>
        <v>3.0000000000000001E-3</v>
      </c>
      <c r="K31" s="39"/>
      <c r="L31" s="264">
        <f t="shared" si="1"/>
        <v>3.0000000000000001E-3</v>
      </c>
    </row>
    <row r="32" spans="1:12" ht="14.65" customHeight="1">
      <c r="A32" s="39">
        <f>+'Exhibit 4.1'!B33</f>
        <v>2011</v>
      </c>
      <c r="B32" s="262">
        <v>0.96938775510204089</v>
      </c>
      <c r="C32" s="29"/>
      <c r="D32" s="29">
        <f t="shared" si="0"/>
        <v>3.0612244897959107E-2</v>
      </c>
      <c r="E32" s="39"/>
      <c r="F32" s="395">
        <v>0</v>
      </c>
      <c r="G32" s="381"/>
      <c r="H32" s="395">
        <v>3.2000000000000001E-2</v>
      </c>
      <c r="I32" s="381"/>
      <c r="J32" s="397">
        <f t="shared" si="2"/>
        <v>3.0000000000000001E-3</v>
      </c>
      <c r="K32" s="39"/>
      <c r="L32" s="264">
        <f t="shared" si="1"/>
        <v>3.0000000000000001E-3</v>
      </c>
    </row>
    <row r="33" spans="1:12" ht="14.65" customHeight="1">
      <c r="A33" s="39">
        <f>+'Exhibit 4.1'!B34</f>
        <v>2012</v>
      </c>
      <c r="B33" s="262">
        <v>0.96938775510204089</v>
      </c>
      <c r="C33" s="29"/>
      <c r="D33" s="29">
        <f t="shared" si="0"/>
        <v>3.0612244897959107E-2</v>
      </c>
      <c r="E33" s="39"/>
      <c r="F33" s="395">
        <v>0</v>
      </c>
      <c r="G33" s="381"/>
      <c r="H33" s="395">
        <v>2.7E-2</v>
      </c>
      <c r="I33" s="381"/>
      <c r="J33" s="397">
        <f t="shared" si="2"/>
        <v>1E-3</v>
      </c>
      <c r="K33" s="39"/>
      <c r="L33" s="264">
        <f t="shared" si="1"/>
        <v>1E-3</v>
      </c>
    </row>
    <row r="34" spans="1:12" ht="14.65" customHeight="1">
      <c r="A34" s="39">
        <f>+'Exhibit 4.1'!B35</f>
        <v>2013</v>
      </c>
      <c r="B34" s="262">
        <v>0.93799999999999994</v>
      </c>
      <c r="C34" s="29"/>
      <c r="D34" s="29">
        <f t="shared" si="0"/>
        <v>6.2000000000000055E-2</v>
      </c>
      <c r="E34" s="39"/>
      <c r="F34" s="395">
        <v>0</v>
      </c>
      <c r="G34" s="381"/>
      <c r="H34" s="395">
        <v>2.5999999999999999E-2</v>
      </c>
      <c r="I34" s="381"/>
      <c r="J34" s="397">
        <f t="shared" si="2"/>
        <v>1E-3</v>
      </c>
      <c r="K34" s="39"/>
      <c r="L34" s="264">
        <f t="shared" si="1"/>
        <v>1E-3</v>
      </c>
    </row>
    <row r="35" spans="1:12" ht="14.65" customHeight="1">
      <c r="A35" s="39">
        <f>+'Exhibit 4.1'!B36</f>
        <v>2014</v>
      </c>
      <c r="B35" s="262">
        <v>0.92800000000000005</v>
      </c>
      <c r="C35" s="29"/>
      <c r="D35" s="29">
        <f t="shared" si="0"/>
        <v>7.1999999999999953E-2</v>
      </c>
      <c r="E35" s="39"/>
      <c r="F35" s="395">
        <v>0</v>
      </c>
      <c r="G35" s="381"/>
      <c r="H35" s="395">
        <v>4.2000000000000003E-2</v>
      </c>
      <c r="I35" s="381"/>
      <c r="J35" s="397">
        <f t="shared" si="2"/>
        <v>3.0000000000000001E-3</v>
      </c>
      <c r="K35" s="39"/>
      <c r="L35" s="264">
        <f t="shared" si="1"/>
        <v>3.0000000000000001E-3</v>
      </c>
    </row>
    <row r="36" spans="1:12" ht="14.65" customHeight="1">
      <c r="A36" s="39">
        <f>+'Exhibit 4.1'!B37</f>
        <v>2015</v>
      </c>
      <c r="B36" s="262">
        <v>0.93300000000000005</v>
      </c>
      <c r="C36" s="29"/>
      <c r="D36" s="29">
        <f t="shared" si="0"/>
        <v>6.6999999999999948E-2</v>
      </c>
      <c r="E36" s="39"/>
      <c r="F36" s="395">
        <v>0</v>
      </c>
      <c r="G36" s="381"/>
      <c r="H36" s="395">
        <v>3.1E-2</v>
      </c>
      <c r="I36" s="381"/>
      <c r="J36" s="397">
        <f t="shared" si="2"/>
        <v>2E-3</v>
      </c>
      <c r="K36" s="264"/>
      <c r="L36" s="264">
        <f t="shared" si="1"/>
        <v>2E-3</v>
      </c>
    </row>
    <row r="37" spans="1:12" ht="14.65" customHeight="1">
      <c r="A37" s="39">
        <f>+'Exhibit 4.1'!B38</f>
        <v>2016</v>
      </c>
      <c r="B37" s="262">
        <v>0.91800000000000004</v>
      </c>
      <c r="C37" s="29"/>
      <c r="D37" s="29">
        <f t="shared" si="0"/>
        <v>8.1999999999999962E-2</v>
      </c>
      <c r="E37" s="39"/>
      <c r="F37" s="395">
        <v>0</v>
      </c>
      <c r="G37" s="381"/>
      <c r="H37" s="395">
        <v>5.3999999999999999E-2</v>
      </c>
      <c r="I37" s="381"/>
      <c r="J37" s="397">
        <f t="shared" si="2"/>
        <v>4.0000000000000001E-3</v>
      </c>
      <c r="K37" s="264"/>
      <c r="L37" s="264">
        <f t="shared" si="1"/>
        <v>4.0000000000000001E-3</v>
      </c>
    </row>
    <row r="38" spans="1:12" ht="14.65" customHeight="1">
      <c r="A38" s="39">
        <f>+'Exhibit 4.1'!B39</f>
        <v>2017</v>
      </c>
      <c r="B38" s="262">
        <v>0.90600000000000003</v>
      </c>
      <c r="C38" s="29"/>
      <c r="D38" s="29">
        <f t="shared" si="0"/>
        <v>9.3999999999999972E-2</v>
      </c>
      <c r="E38" s="39"/>
      <c r="F38" s="395">
        <v>0</v>
      </c>
      <c r="G38" s="381"/>
      <c r="H38" s="395">
        <v>2.1999999999999999E-2</v>
      </c>
      <c r="I38" s="381"/>
      <c r="J38" s="397">
        <f t="shared" si="2"/>
        <v>2E-3</v>
      </c>
      <c r="K38" s="39"/>
      <c r="L38" s="264">
        <f>F38+J38</f>
        <v>2E-3</v>
      </c>
    </row>
    <row r="39" spans="1:12" ht="14.65" customHeight="1">
      <c r="A39" s="39">
        <f>+'Exhibit 4.1'!B40</f>
        <v>2018</v>
      </c>
      <c r="B39" s="262">
        <v>0.88700000000000001</v>
      </c>
      <c r="C39" s="29"/>
      <c r="D39" s="29">
        <f t="shared" si="0"/>
        <v>0.11299999999999999</v>
      </c>
      <c r="E39" s="39"/>
      <c r="F39" s="395">
        <v>0</v>
      </c>
      <c r="G39" s="381"/>
      <c r="H39" s="395">
        <v>2.5000000000000001E-2</v>
      </c>
      <c r="I39" s="381"/>
      <c r="J39" s="397">
        <f t="shared" si="2"/>
        <v>2E-3</v>
      </c>
      <c r="K39" s="39"/>
      <c r="L39" s="264">
        <f>F39+J39</f>
        <v>2E-3</v>
      </c>
    </row>
    <row r="40" spans="1:12" s="224" customFormat="1" ht="14.65" customHeight="1">
      <c r="A40" s="39">
        <f>+'Exhibit 4.1'!B41</f>
        <v>2019</v>
      </c>
      <c r="B40" s="262">
        <v>0.87270000000000003</v>
      </c>
      <c r="C40" s="29"/>
      <c r="D40" s="29">
        <f t="shared" si="0"/>
        <v>0.12729999999999997</v>
      </c>
      <c r="E40" s="39"/>
      <c r="F40" s="395">
        <v>0</v>
      </c>
      <c r="G40" s="381"/>
      <c r="H40" s="395">
        <v>3.7999999999999999E-2</v>
      </c>
      <c r="I40" s="381"/>
      <c r="J40" s="397">
        <f t="shared" si="2"/>
        <v>4.0000000000000001E-3</v>
      </c>
      <c r="K40" s="39"/>
      <c r="L40" s="264">
        <f>F40+J40</f>
        <v>4.0000000000000001E-3</v>
      </c>
    </row>
    <row r="41" spans="1:12" ht="14.65" customHeight="1">
      <c r="A41" s="39">
        <f>+'Exhibit 4.1'!B42</f>
        <v>2020</v>
      </c>
      <c r="B41" s="262">
        <v>0.87270000000000003</v>
      </c>
      <c r="C41" s="29"/>
      <c r="D41" s="29">
        <f t="shared" ref="D41:D43" si="3">1-B41</f>
        <v>0.12729999999999997</v>
      </c>
      <c r="E41" s="39"/>
      <c r="F41" s="395">
        <v>0</v>
      </c>
      <c r="G41" s="381"/>
      <c r="H41" s="395">
        <v>0.03</v>
      </c>
      <c r="I41" s="381"/>
      <c r="J41" s="397">
        <f t="shared" si="2"/>
        <v>4.0000000000000001E-3</v>
      </c>
      <c r="K41" s="39"/>
      <c r="L41" s="264">
        <f t="shared" ref="L41:L43" si="4">F41+J41</f>
        <v>4.0000000000000001E-3</v>
      </c>
    </row>
    <row r="42" spans="1:12" s="469" customFormat="1" ht="14.65" customHeight="1">
      <c r="A42" s="39">
        <f>+'Exhibit 4.1'!B43</f>
        <v>2021</v>
      </c>
      <c r="B42" s="262">
        <v>0.87270000000000003</v>
      </c>
      <c r="C42" s="29"/>
      <c r="D42" s="29">
        <f t="shared" si="3"/>
        <v>0.12729999999999997</v>
      </c>
      <c r="E42" s="39"/>
      <c r="F42" s="395">
        <v>0</v>
      </c>
      <c r="G42" s="381"/>
      <c r="H42" s="395">
        <v>0.02</v>
      </c>
      <c r="I42" s="381"/>
      <c r="J42" s="397">
        <f t="shared" si="2"/>
        <v>3.0000000000000001E-3</v>
      </c>
      <c r="K42" s="39"/>
      <c r="L42" s="264">
        <f t="shared" ref="L42" si="5">F42+J42</f>
        <v>3.0000000000000001E-3</v>
      </c>
    </row>
    <row r="43" spans="1:12" s="295" customFormat="1" ht="14.65" customHeight="1">
      <c r="A43" s="39">
        <f>+'Exhibit 4.1'!B44</f>
        <v>2022</v>
      </c>
      <c r="B43" s="262">
        <v>0.87270000000000003</v>
      </c>
      <c r="C43" s="29"/>
      <c r="D43" s="29">
        <f t="shared" si="3"/>
        <v>0.12729999999999997</v>
      </c>
      <c r="E43" s="39"/>
      <c r="F43" s="395">
        <v>0</v>
      </c>
      <c r="G43" s="381"/>
      <c r="H43" s="395">
        <v>2.5999999999999999E-2</v>
      </c>
      <c r="I43" s="381"/>
      <c r="J43" s="397">
        <f t="shared" si="2"/>
        <v>3.0000000000000001E-3</v>
      </c>
      <c r="K43" s="39"/>
      <c r="L43" s="264">
        <f t="shared" si="4"/>
        <v>3.0000000000000001E-3</v>
      </c>
    </row>
    <row r="44" spans="1:12" s="236" customFormat="1" ht="14.65" customHeight="1">
      <c r="A44" s="58" t="str">
        <f>+'Exhibit 4.1'!B45</f>
        <v>9/1/2022</v>
      </c>
      <c r="B44" s="262">
        <v>0.87270000000000003</v>
      </c>
      <c r="C44" s="29"/>
      <c r="D44" s="29">
        <f t="shared" ref="D44" si="6">1-B44</f>
        <v>0.12729999999999997</v>
      </c>
      <c r="E44" s="39"/>
      <c r="F44" s="395">
        <v>0</v>
      </c>
      <c r="G44" s="396" t="s">
        <v>456</v>
      </c>
      <c r="H44" s="395">
        <v>5.1011677163903535E-3</v>
      </c>
      <c r="I44" s="396" t="s">
        <v>532</v>
      </c>
      <c r="J44" s="397">
        <f t="shared" si="2"/>
        <v>1E-3</v>
      </c>
      <c r="K44" s="39"/>
      <c r="L44" s="264">
        <f>F44+J44</f>
        <v>1E-3</v>
      </c>
    </row>
    <row r="45" spans="1:12" ht="25.9" customHeight="1">
      <c r="A45" s="58"/>
      <c r="B45" s="57"/>
      <c r="C45" s="57"/>
      <c r="D45" s="29"/>
      <c r="F45" s="265"/>
      <c r="J45" s="76"/>
      <c r="K45" s="44"/>
      <c r="L45" s="76"/>
    </row>
    <row r="46" spans="1:12" ht="39" customHeight="1">
      <c r="A46" s="59" t="s">
        <v>22</v>
      </c>
      <c r="B46" s="535" t="s">
        <v>339</v>
      </c>
      <c r="C46" s="535"/>
      <c r="D46" s="535"/>
      <c r="E46" s="535"/>
      <c r="F46" s="535"/>
      <c r="G46" s="535"/>
      <c r="H46" s="535"/>
      <c r="I46" s="535"/>
      <c r="J46" s="535"/>
      <c r="K46" s="535"/>
      <c r="L46" s="535"/>
    </row>
    <row r="47" spans="1:12" ht="12.75" customHeight="1">
      <c r="A47" s="59" t="s">
        <v>28</v>
      </c>
      <c r="B47" s="36" t="s">
        <v>344</v>
      </c>
      <c r="C47" s="36"/>
      <c r="D47" s="36"/>
      <c r="E47" s="36"/>
      <c r="F47" s="36"/>
      <c r="G47" s="36"/>
      <c r="H47" s="36"/>
      <c r="I47" s="36"/>
      <c r="J47" s="36"/>
      <c r="K47" s="36"/>
      <c r="L47" s="36"/>
    </row>
    <row r="48" spans="1:12" ht="12.75" customHeight="1">
      <c r="A48" s="59" t="s">
        <v>38</v>
      </c>
      <c r="B48" s="263" t="s">
        <v>103</v>
      </c>
      <c r="C48" s="263"/>
      <c r="D48" s="263"/>
      <c r="E48" s="263"/>
      <c r="F48" s="263"/>
      <c r="G48" s="263"/>
      <c r="H48" s="263"/>
      <c r="I48" s="263"/>
      <c r="J48" s="263"/>
      <c r="K48" s="36"/>
      <c r="L48" s="36"/>
    </row>
    <row r="49" spans="1:12" ht="89.15" customHeight="1">
      <c r="A49" s="60" t="s">
        <v>57</v>
      </c>
      <c r="B49" s="533" t="s">
        <v>104</v>
      </c>
      <c r="C49" s="533"/>
      <c r="D49" s="533"/>
      <c r="E49" s="533"/>
      <c r="F49" s="533"/>
      <c r="G49" s="533"/>
      <c r="H49" s="533"/>
      <c r="I49" s="533"/>
      <c r="J49" s="533"/>
      <c r="K49" s="533"/>
      <c r="L49" s="533"/>
    </row>
    <row r="50" spans="1:12" ht="12.75" customHeight="1">
      <c r="A50" s="60" t="s">
        <v>41</v>
      </c>
      <c r="B50" s="534" t="s">
        <v>105</v>
      </c>
      <c r="C50" s="534"/>
      <c r="D50" s="534"/>
      <c r="E50" s="534"/>
      <c r="F50" s="534"/>
      <c r="G50" s="534"/>
      <c r="H50" s="534"/>
      <c r="I50" s="534"/>
      <c r="J50" s="534"/>
      <c r="K50" s="534"/>
      <c r="L50" s="534"/>
    </row>
  </sheetData>
  <mergeCells count="3">
    <mergeCell ref="B49:L49"/>
    <mergeCell ref="B50:L50"/>
    <mergeCell ref="B46:L46"/>
  </mergeCells>
  <pageMargins left="0.5" right="0.5" top="0.75" bottom="0.75" header="0.33" footer="0.33"/>
  <pageSetup scale="81" fitToHeight="0" orientation="portrait" blackAndWhite="1" r:id="rId1"/>
  <headerFooter scaleWithDoc="0">
    <oddHeader>&amp;R&amp;"Arial,Regular"&amp;10Exhibit 4.2</oddHeader>
  </headerFooter>
  <ignoredErrors>
    <ignoredError sqref="B3:L3" numberStoredAsText="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dimension ref="A1:H48"/>
  <sheetViews>
    <sheetView zoomScaleNormal="100" zoomScaleSheetLayoutView="100" workbookViewId="0">
      <selection sqref="A1:H1"/>
    </sheetView>
  </sheetViews>
  <sheetFormatPr defaultColWidth="9.1796875" defaultRowHeight="12.5"/>
  <cols>
    <col min="1" max="1" width="8.1796875" style="174" customWidth="1"/>
    <col min="2" max="2" width="11.54296875" style="174" customWidth="1"/>
    <col min="3" max="3" width="9.1796875" style="44" customWidth="1"/>
    <col min="4" max="4" width="20.26953125" style="44" customWidth="1"/>
    <col min="5" max="5" width="6.7265625" style="44" customWidth="1"/>
    <col min="6" max="6" width="18.453125" style="174" customWidth="1"/>
    <col min="7" max="7" width="7.7265625" style="44" customWidth="1"/>
    <col min="8" max="8" width="7.1796875" style="174" customWidth="1"/>
    <col min="9" max="16384" width="9.1796875" style="174"/>
  </cols>
  <sheetData>
    <row r="1" spans="1:8" ht="13">
      <c r="A1" s="523" t="s">
        <v>106</v>
      </c>
      <c r="B1" s="523"/>
      <c r="C1" s="523"/>
      <c r="D1" s="523"/>
      <c r="E1" s="523"/>
      <c r="F1" s="523"/>
      <c r="G1" s="523"/>
      <c r="H1" s="523"/>
    </row>
    <row r="2" spans="1:8">
      <c r="A2" s="39"/>
      <c r="B2" s="39"/>
      <c r="C2" s="40"/>
      <c r="D2" s="40"/>
      <c r="E2" s="40"/>
      <c r="F2" s="39"/>
      <c r="H2" s="39"/>
    </row>
    <row r="3" spans="1:8">
      <c r="A3" s="39"/>
      <c r="B3" s="39"/>
      <c r="C3" s="40" t="s">
        <v>45</v>
      </c>
      <c r="D3" s="40"/>
      <c r="E3" s="40" t="s">
        <v>46</v>
      </c>
      <c r="F3" s="39"/>
      <c r="G3" s="251" t="s">
        <v>47</v>
      </c>
      <c r="H3" s="39"/>
    </row>
    <row r="4" spans="1:8">
      <c r="A4" s="39"/>
      <c r="B4" s="39"/>
      <c r="C4" s="39" t="s">
        <v>107</v>
      </c>
      <c r="D4" s="39"/>
      <c r="E4" s="39" t="s">
        <v>108</v>
      </c>
      <c r="F4" s="39"/>
      <c r="G4" s="39" t="s">
        <v>109</v>
      </c>
      <c r="H4" s="39"/>
    </row>
    <row r="5" spans="1:8">
      <c r="A5" s="39" t="s">
        <v>54</v>
      </c>
      <c r="B5" s="39"/>
      <c r="C5" s="39" t="s">
        <v>110</v>
      </c>
      <c r="D5" s="39"/>
      <c r="E5" s="39" t="s">
        <v>111</v>
      </c>
      <c r="F5" s="39"/>
      <c r="G5" s="39" t="s">
        <v>112</v>
      </c>
      <c r="H5" s="39"/>
    </row>
    <row r="6" spans="1:8">
      <c r="A6" s="41" t="s">
        <v>8</v>
      </c>
      <c r="B6" s="41"/>
      <c r="C6" s="41" t="s">
        <v>371</v>
      </c>
      <c r="D6" s="41"/>
      <c r="E6" s="41" t="s">
        <v>372</v>
      </c>
      <c r="F6" s="41"/>
      <c r="G6" s="41" t="s">
        <v>373</v>
      </c>
      <c r="H6" s="41"/>
    </row>
    <row r="7" spans="1:8">
      <c r="A7" s="39"/>
      <c r="B7" s="44"/>
      <c r="F7" s="44"/>
      <c r="H7" s="44"/>
    </row>
    <row r="8" spans="1:8">
      <c r="A8" s="39">
        <f>+'Exhibit 4.1'!B9</f>
        <v>1987</v>
      </c>
      <c r="B8" s="44"/>
      <c r="C8" s="254">
        <v>0</v>
      </c>
      <c r="D8" s="398"/>
      <c r="E8" s="254">
        <v>0</v>
      </c>
      <c r="F8" s="44"/>
      <c r="G8" s="76">
        <f t="shared" ref="G8:G39" si="0">(C8+1)*(1+E8)-1</f>
        <v>0</v>
      </c>
      <c r="H8" s="44"/>
    </row>
    <row r="9" spans="1:8">
      <c r="A9" s="39">
        <f>+'Exhibit 4.1'!B10</f>
        <v>1988</v>
      </c>
      <c r="B9" s="44"/>
      <c r="C9" s="254">
        <v>0</v>
      </c>
      <c r="D9" s="398"/>
      <c r="E9" s="254">
        <v>0</v>
      </c>
      <c r="F9" s="44"/>
      <c r="G9" s="76">
        <f t="shared" si="0"/>
        <v>0</v>
      </c>
      <c r="H9" s="44"/>
    </row>
    <row r="10" spans="1:8">
      <c r="A10" s="39">
        <f>+'Exhibit 4.1'!B11</f>
        <v>1989</v>
      </c>
      <c r="B10" s="44"/>
      <c r="C10" s="254">
        <v>0</v>
      </c>
      <c r="D10" s="398"/>
      <c r="E10" s="254">
        <v>0</v>
      </c>
      <c r="F10" s="44"/>
      <c r="G10" s="76">
        <f t="shared" si="0"/>
        <v>0</v>
      </c>
      <c r="H10" s="44"/>
    </row>
    <row r="11" spans="1:8">
      <c r="A11" s="39">
        <f>+'Exhibit 4.1'!B12</f>
        <v>1990</v>
      </c>
      <c r="B11" s="44"/>
      <c r="C11" s="254">
        <v>-7.0000000000000001E-3</v>
      </c>
      <c r="D11" s="398"/>
      <c r="E11" s="254">
        <v>0.19900000000000001</v>
      </c>
      <c r="F11" s="44"/>
      <c r="G11" s="76">
        <f t="shared" si="0"/>
        <v>0.19060699999999997</v>
      </c>
      <c r="H11" s="44"/>
    </row>
    <row r="12" spans="1:8">
      <c r="A12" s="39">
        <f>+'Exhibit 4.1'!B13</f>
        <v>1991</v>
      </c>
      <c r="B12" s="44"/>
      <c r="C12" s="254">
        <v>-1.6E-2</v>
      </c>
      <c r="D12" s="398"/>
      <c r="E12" s="254">
        <v>0.14699999999999999</v>
      </c>
      <c r="F12" s="44"/>
      <c r="G12" s="76">
        <f t="shared" si="0"/>
        <v>0.1286480000000001</v>
      </c>
      <c r="H12" s="44"/>
    </row>
    <row r="13" spans="1:8">
      <c r="A13" s="39">
        <f>+'Exhibit 4.1'!B14</f>
        <v>1992</v>
      </c>
      <c r="B13" s="44"/>
      <c r="C13" s="254">
        <v>5.0000000000000001E-3</v>
      </c>
      <c r="D13" s="398"/>
      <c r="E13" s="254">
        <v>-8.4000000000000005E-2</v>
      </c>
      <c r="F13" s="44"/>
      <c r="G13" s="76">
        <f t="shared" si="0"/>
        <v>-7.9420000000000046E-2</v>
      </c>
      <c r="H13" s="44"/>
    </row>
    <row r="14" spans="1:8">
      <c r="A14" s="39">
        <f>+'Exhibit 4.1'!B15</f>
        <v>1993</v>
      </c>
      <c r="B14" s="44"/>
      <c r="C14" s="254">
        <v>-7.0000000000000001E-3</v>
      </c>
      <c r="D14" s="398"/>
      <c r="E14" s="254">
        <v>-0.18099999999999999</v>
      </c>
      <c r="F14" s="44"/>
      <c r="G14" s="76">
        <f t="shared" si="0"/>
        <v>-0.18673300000000004</v>
      </c>
      <c r="H14" s="44"/>
    </row>
    <row r="15" spans="1:8">
      <c r="A15" s="39">
        <f>+'Exhibit 4.1'!B16</f>
        <v>1994</v>
      </c>
      <c r="B15" s="44"/>
      <c r="C15" s="254">
        <v>-2.5999999999999999E-2</v>
      </c>
      <c r="D15" s="398"/>
      <c r="E15" s="254">
        <v>3.0000000000000001E-3</v>
      </c>
      <c r="F15" s="44"/>
      <c r="G15" s="76">
        <f t="shared" si="0"/>
        <v>-2.3078000000000154E-2</v>
      </c>
      <c r="H15" s="44"/>
    </row>
    <row r="16" spans="1:8">
      <c r="A16" s="39">
        <f>+'Exhibit 4.1'!B17</f>
        <v>1995</v>
      </c>
      <c r="B16" s="44"/>
      <c r="C16" s="254">
        <v>0</v>
      </c>
      <c r="D16" s="398"/>
      <c r="E16" s="254">
        <v>5.0000000000000001E-3</v>
      </c>
      <c r="F16" s="44"/>
      <c r="G16" s="76">
        <f t="shared" si="0"/>
        <v>4.9999999999998934E-3</v>
      </c>
      <c r="H16" s="44"/>
    </row>
    <row r="17" spans="1:8">
      <c r="A17" s="39">
        <f>+'Exhibit 4.1'!B18</f>
        <v>1996</v>
      </c>
      <c r="B17" s="44"/>
      <c r="C17" s="254">
        <v>0</v>
      </c>
      <c r="D17" s="398"/>
      <c r="E17" s="254">
        <v>4.0000000000000001E-3</v>
      </c>
      <c r="F17" s="44"/>
      <c r="G17" s="76">
        <f t="shared" si="0"/>
        <v>4.0000000000000036E-3</v>
      </c>
      <c r="H17" s="44"/>
    </row>
    <row r="18" spans="1:8">
      <c r="A18" s="39">
        <f>+'Exhibit 4.1'!B19</f>
        <v>1997</v>
      </c>
      <c r="B18" s="44"/>
      <c r="C18" s="254">
        <v>0</v>
      </c>
      <c r="D18" s="398"/>
      <c r="E18" s="254">
        <v>2E-3</v>
      </c>
      <c r="F18" s="44"/>
      <c r="G18" s="76">
        <f t="shared" si="0"/>
        <v>2.0000000000000018E-3</v>
      </c>
      <c r="H18" s="44"/>
    </row>
    <row r="19" spans="1:8">
      <c r="A19" s="39">
        <f>+'Exhibit 4.1'!B20</f>
        <v>1998</v>
      </c>
      <c r="B19" s="44"/>
      <c r="C19" s="254">
        <v>0.126</v>
      </c>
      <c r="D19" s="398"/>
      <c r="E19" s="254">
        <v>0</v>
      </c>
      <c r="F19" s="44"/>
      <c r="G19" s="76">
        <f t="shared" si="0"/>
        <v>0.12599999999999989</v>
      </c>
      <c r="H19" s="44"/>
    </row>
    <row r="20" spans="1:8">
      <c r="A20" s="39">
        <f>+'Exhibit 4.1'!B21</f>
        <v>1999</v>
      </c>
      <c r="B20" s="44"/>
      <c r="C20" s="254">
        <v>0.126</v>
      </c>
      <c r="D20" s="398"/>
      <c r="E20" s="254">
        <v>0</v>
      </c>
      <c r="F20" s="44"/>
      <c r="G20" s="76">
        <f t="shared" si="0"/>
        <v>0.12599999999999989</v>
      </c>
      <c r="H20" s="44"/>
    </row>
    <row r="21" spans="1:8">
      <c r="A21" s="39">
        <f>+'Exhibit 4.1'!B22</f>
        <v>2000</v>
      </c>
      <c r="B21" s="44"/>
      <c r="C21" s="254">
        <v>7.0000000000000007E-2</v>
      </c>
      <c r="D21" s="398"/>
      <c r="E21" s="254">
        <v>0</v>
      </c>
      <c r="F21" s="44"/>
      <c r="G21" s="76">
        <f t="shared" si="0"/>
        <v>7.0000000000000062E-2</v>
      </c>
      <c r="H21" s="44"/>
    </row>
    <row r="22" spans="1:8">
      <c r="A22" s="39">
        <f>+'Exhibit 4.1'!B23</f>
        <v>2001</v>
      </c>
      <c r="B22" s="44"/>
      <c r="C22" s="254">
        <v>6.6000000000000003E-2</v>
      </c>
      <c r="D22" s="398"/>
      <c r="E22" s="254">
        <v>0</v>
      </c>
      <c r="F22" s="44"/>
      <c r="G22" s="76">
        <f t="shared" si="0"/>
        <v>6.6000000000000059E-2</v>
      </c>
      <c r="H22" s="44"/>
    </row>
    <row r="23" spans="1:8">
      <c r="A23" s="39">
        <f>+'Exhibit 4.1'!B24</f>
        <v>2002</v>
      </c>
      <c r="B23" s="44"/>
      <c r="C23" s="254">
        <v>-5.6000000000000001E-2</v>
      </c>
      <c r="D23" s="398"/>
      <c r="E23" s="254">
        <v>0</v>
      </c>
      <c r="F23" s="44"/>
      <c r="G23" s="76">
        <f t="shared" si="0"/>
        <v>-5.600000000000005E-2</v>
      </c>
      <c r="H23" s="44"/>
    </row>
    <row r="24" spans="1:8">
      <c r="A24" s="39">
        <f>+'Exhibit 4.1'!B25</f>
        <v>2003</v>
      </c>
      <c r="B24" s="44"/>
      <c r="C24" s="254">
        <v>-0.06</v>
      </c>
      <c r="D24" s="398"/>
      <c r="E24" s="254">
        <v>0</v>
      </c>
      <c r="F24" s="44"/>
      <c r="G24" s="76">
        <f t="shared" si="0"/>
        <v>-6.0000000000000053E-2</v>
      </c>
      <c r="H24" s="44"/>
    </row>
    <row r="25" spans="1:8">
      <c r="A25" s="39">
        <f>+'Exhibit 4.1'!B26</f>
        <v>2004</v>
      </c>
      <c r="B25" s="44"/>
      <c r="C25" s="254">
        <v>-0.24399999999999999</v>
      </c>
      <c r="D25" s="398"/>
      <c r="E25" s="254">
        <v>-0.125</v>
      </c>
      <c r="F25" s="44"/>
      <c r="G25" s="76">
        <f t="shared" si="0"/>
        <v>-0.33850000000000002</v>
      </c>
      <c r="H25" s="44"/>
    </row>
    <row r="26" spans="1:8">
      <c r="A26" s="39">
        <f>+'Exhibit 4.1'!B27</f>
        <v>2005</v>
      </c>
      <c r="B26" s="44"/>
      <c r="C26" s="254">
        <v>0</v>
      </c>
      <c r="D26" s="398"/>
      <c r="E26" s="254">
        <v>-0.13900000000000001</v>
      </c>
      <c r="F26" s="44"/>
      <c r="G26" s="76">
        <f t="shared" si="0"/>
        <v>-0.13900000000000001</v>
      </c>
      <c r="H26" s="44"/>
    </row>
    <row r="27" spans="1:8">
      <c r="A27" s="39">
        <f>+'Exhibit 4.1'!B28</f>
        <v>2006</v>
      </c>
      <c r="B27" s="44"/>
      <c r="C27" s="254">
        <v>1E-3</v>
      </c>
      <c r="D27" s="398"/>
      <c r="E27" s="254">
        <v>-5.1999999999999998E-2</v>
      </c>
      <c r="F27" s="44"/>
      <c r="G27" s="76">
        <f t="shared" si="0"/>
        <v>-5.1052000000000097E-2</v>
      </c>
      <c r="H27" s="44"/>
    </row>
    <row r="28" spans="1:8">
      <c r="A28" s="39">
        <f>+'Exhibit 4.1'!B29</f>
        <v>2007</v>
      </c>
      <c r="B28" s="44"/>
      <c r="C28" s="254">
        <v>1E-3</v>
      </c>
      <c r="D28" s="398"/>
      <c r="E28" s="254">
        <v>0</v>
      </c>
      <c r="F28" s="44"/>
      <c r="G28" s="76">
        <f t="shared" si="0"/>
        <v>9.9999999999988987E-4</v>
      </c>
      <c r="H28" s="44"/>
    </row>
    <row r="29" spans="1:8">
      <c r="A29" s="39">
        <f>+'Exhibit 4.1'!B30</f>
        <v>2008</v>
      </c>
      <c r="B29" s="44"/>
      <c r="C29" s="254">
        <v>2E-3</v>
      </c>
      <c r="D29" s="398"/>
      <c r="E29" s="254">
        <v>3.0000000000000001E-3</v>
      </c>
      <c r="F29" s="44"/>
      <c r="G29" s="76">
        <f t="shared" si="0"/>
        <v>5.0059999999998439E-3</v>
      </c>
      <c r="H29" s="44"/>
    </row>
    <row r="30" spans="1:8">
      <c r="A30" s="39">
        <f>+'Exhibit 4.1'!B31</f>
        <v>2009</v>
      </c>
      <c r="B30" s="44"/>
      <c r="C30" s="254">
        <v>0</v>
      </c>
      <c r="D30" s="398"/>
      <c r="E30" s="254">
        <v>0.01</v>
      </c>
      <c r="F30" s="44"/>
      <c r="G30" s="76">
        <f t="shared" si="0"/>
        <v>1.0000000000000009E-2</v>
      </c>
      <c r="H30" s="44"/>
    </row>
    <row r="31" spans="1:8">
      <c r="A31" s="39">
        <f>+'Exhibit 4.1'!B32</f>
        <v>2010</v>
      </c>
      <c r="B31" s="44"/>
      <c r="C31" s="254">
        <v>0</v>
      </c>
      <c r="D31" s="398"/>
      <c r="E31" s="254">
        <v>0</v>
      </c>
      <c r="F31" s="44"/>
      <c r="G31" s="76">
        <f t="shared" si="0"/>
        <v>0</v>
      </c>
      <c r="H31" s="44"/>
    </row>
    <row r="32" spans="1:8">
      <c r="A32" s="39">
        <f>+'Exhibit 4.1'!B33</f>
        <v>2011</v>
      </c>
      <c r="B32" s="44"/>
      <c r="C32" s="254">
        <v>-0.02</v>
      </c>
      <c r="D32" s="398"/>
      <c r="E32" s="254">
        <v>0</v>
      </c>
      <c r="F32" s="44"/>
      <c r="G32" s="76">
        <f t="shared" si="0"/>
        <v>-2.0000000000000018E-2</v>
      </c>
      <c r="H32" s="44"/>
    </row>
    <row r="33" spans="1:8">
      <c r="A33" s="39">
        <f>+'Exhibit 4.1'!B34</f>
        <v>2012</v>
      </c>
      <c r="B33" s="44"/>
      <c r="C33" s="254">
        <v>-4.4999999999999998E-2</v>
      </c>
      <c r="D33" s="398"/>
      <c r="E33" s="254">
        <v>0</v>
      </c>
      <c r="F33" s="44"/>
      <c r="G33" s="76">
        <f t="shared" si="0"/>
        <v>-4.500000000000004E-2</v>
      </c>
      <c r="H33" s="44"/>
    </row>
    <row r="34" spans="1:8">
      <c r="A34" s="39">
        <f>+'Exhibit 4.1'!B35</f>
        <v>2013</v>
      </c>
      <c r="B34" s="44"/>
      <c r="C34" s="254">
        <v>-8.2000000000000003E-2</v>
      </c>
      <c r="D34" s="398"/>
      <c r="E34" s="254">
        <v>2E-3</v>
      </c>
      <c r="F34" s="44"/>
      <c r="G34" s="76">
        <f t="shared" si="0"/>
        <v>-8.0164000000000013E-2</v>
      </c>
      <c r="H34" s="44"/>
    </row>
    <row r="35" spans="1:8">
      <c r="A35" s="39">
        <f>+'Exhibit 4.1'!B36</f>
        <v>2014</v>
      </c>
      <c r="B35" s="44"/>
      <c r="C35" s="254">
        <v>-0.06</v>
      </c>
      <c r="D35" s="398"/>
      <c r="E35" s="254">
        <v>1.2999999999999999E-2</v>
      </c>
      <c r="F35" s="39"/>
      <c r="G35" s="76">
        <f t="shared" si="0"/>
        <v>-4.7780000000000156E-2</v>
      </c>
      <c r="H35" s="44"/>
    </row>
    <row r="36" spans="1:8">
      <c r="A36" s="39">
        <f>+'Exhibit 4.1'!B37</f>
        <v>2015</v>
      </c>
      <c r="B36" s="44"/>
      <c r="C36" s="254">
        <v>-2.1000000000000001E-2</v>
      </c>
      <c r="D36" s="398"/>
      <c r="E36" s="254">
        <v>0</v>
      </c>
      <c r="F36" s="39"/>
      <c r="G36" s="76">
        <f t="shared" si="0"/>
        <v>-2.1000000000000019E-2</v>
      </c>
      <c r="H36" s="44"/>
    </row>
    <row r="37" spans="1:8">
      <c r="A37" s="39">
        <f>+'Exhibit 4.1'!B38</f>
        <v>2016</v>
      </c>
      <c r="B37" s="44"/>
      <c r="C37" s="254">
        <v>-7.0000000000000001E-3</v>
      </c>
      <c r="D37" s="398"/>
      <c r="E37" s="254">
        <v>0</v>
      </c>
      <c r="F37" s="39"/>
      <c r="G37" s="76">
        <f t="shared" si="0"/>
        <v>-7.0000000000000062E-3</v>
      </c>
      <c r="H37" s="44"/>
    </row>
    <row r="38" spans="1:8">
      <c r="A38" s="39">
        <f>+'Exhibit 4.1'!B39</f>
        <v>2017</v>
      </c>
      <c r="B38" s="44"/>
      <c r="C38" s="254">
        <v>-5.0000000000000001E-3</v>
      </c>
      <c r="D38" s="398"/>
      <c r="E38" s="254">
        <v>0</v>
      </c>
      <c r="F38" s="39"/>
      <c r="G38" s="76">
        <f t="shared" si="0"/>
        <v>-5.0000000000000044E-3</v>
      </c>
      <c r="H38" s="44"/>
    </row>
    <row r="39" spans="1:8">
      <c r="A39" s="39">
        <f>+'Exhibit 4.1'!B40</f>
        <v>2018</v>
      </c>
      <c r="B39" s="44"/>
      <c r="C39" s="254">
        <v>-3.0000000000000001E-3</v>
      </c>
      <c r="D39" s="398"/>
      <c r="E39" s="254">
        <v>0</v>
      </c>
      <c r="F39" s="44"/>
      <c r="G39" s="76">
        <f t="shared" si="0"/>
        <v>-3.0000000000000027E-3</v>
      </c>
      <c r="H39" s="44"/>
    </row>
    <row r="40" spans="1:8" s="224" customFormat="1">
      <c r="A40" s="39">
        <f>+'Exhibit 4.1'!B41</f>
        <v>2019</v>
      </c>
      <c r="B40" s="44"/>
      <c r="C40" s="254">
        <v>0</v>
      </c>
      <c r="D40" s="398"/>
      <c r="E40" s="254">
        <v>0</v>
      </c>
      <c r="F40" s="44"/>
      <c r="G40" s="76">
        <f t="shared" ref="G40:G43" si="1">(C40+1)*(1+E40)-1</f>
        <v>0</v>
      </c>
      <c r="H40" s="44"/>
    </row>
    <row r="41" spans="1:8">
      <c r="A41" s="39">
        <f>+'Exhibit 4.1'!B42</f>
        <v>2020</v>
      </c>
      <c r="B41" s="44"/>
      <c r="C41" s="254">
        <v>0</v>
      </c>
      <c r="D41" s="398"/>
      <c r="E41" s="254">
        <v>0</v>
      </c>
      <c r="F41" s="44"/>
      <c r="G41" s="76">
        <f t="shared" si="1"/>
        <v>0</v>
      </c>
      <c r="H41" s="44"/>
    </row>
    <row r="42" spans="1:8" s="469" customFormat="1">
      <c r="A42" s="39">
        <f>+'Exhibit 4.1'!B43</f>
        <v>2021</v>
      </c>
      <c r="B42" s="44"/>
      <c r="C42" s="254">
        <v>0</v>
      </c>
      <c r="D42" s="398"/>
      <c r="E42" s="254">
        <v>0</v>
      </c>
      <c r="F42" s="44"/>
      <c r="G42" s="76">
        <f t="shared" si="1"/>
        <v>0</v>
      </c>
      <c r="H42" s="44"/>
    </row>
    <row r="43" spans="1:8" s="295" customFormat="1">
      <c r="A43" s="39">
        <f>+'Exhibit 4.1'!B44</f>
        <v>2022</v>
      </c>
      <c r="B43" s="44"/>
      <c r="C43" s="254">
        <v>0</v>
      </c>
      <c r="D43" s="398"/>
      <c r="E43" s="254">
        <v>0</v>
      </c>
      <c r="F43" s="44"/>
      <c r="G43" s="76">
        <f t="shared" si="1"/>
        <v>0</v>
      </c>
      <c r="H43" s="44"/>
    </row>
    <row r="44" spans="1:8" s="236" customFormat="1">
      <c r="A44" s="58" t="str">
        <f>+'Exhibit 4.1'!B45</f>
        <v>9/1/2022</v>
      </c>
      <c r="B44" s="44"/>
      <c r="C44" s="254">
        <v>0</v>
      </c>
      <c r="D44" s="398"/>
      <c r="E44" s="254">
        <v>0</v>
      </c>
      <c r="F44" s="44"/>
      <c r="G44" s="76">
        <f t="shared" ref="G44" si="2">(C44+1)*(1+E44)-1</f>
        <v>0</v>
      </c>
      <c r="H44" s="44"/>
    </row>
    <row r="45" spans="1:8">
      <c r="A45" s="44"/>
      <c r="B45" s="44"/>
      <c r="C45" s="76"/>
      <c r="E45" s="76"/>
      <c r="F45" s="44"/>
      <c r="H45" s="44"/>
    </row>
    <row r="46" spans="1:8" ht="54.65" customHeight="1">
      <c r="A46" s="31" t="s">
        <v>22</v>
      </c>
      <c r="B46" s="533" t="s">
        <v>354</v>
      </c>
      <c r="C46" s="533"/>
      <c r="D46" s="533"/>
      <c r="E46" s="533"/>
      <c r="F46" s="533"/>
      <c r="G46" s="533"/>
      <c r="H46" s="533"/>
    </row>
    <row r="47" spans="1:8" ht="27" customHeight="1">
      <c r="A47" s="31" t="s">
        <v>28</v>
      </c>
      <c r="B47" s="514" t="s">
        <v>113</v>
      </c>
      <c r="C47" s="514"/>
      <c r="D47" s="514"/>
      <c r="E47" s="514"/>
      <c r="F47" s="514"/>
      <c r="G47" s="514"/>
      <c r="H47" s="514"/>
    </row>
    <row r="48" spans="1:8" ht="12.75" customHeight="1">
      <c r="A48" s="31" t="s">
        <v>38</v>
      </c>
      <c r="B48" s="36" t="s">
        <v>114</v>
      </c>
      <c r="C48" s="36"/>
      <c r="D48" s="36"/>
      <c r="E48" s="36"/>
      <c r="F48" s="36"/>
      <c r="G48" s="36"/>
      <c r="H48" s="36"/>
    </row>
  </sheetData>
  <mergeCells count="3">
    <mergeCell ref="B47:H47"/>
    <mergeCell ref="A1:H1"/>
    <mergeCell ref="B46:H46"/>
  </mergeCells>
  <printOptions horizontalCentered="1"/>
  <pageMargins left="0.5" right="0.5" top="0.75" bottom="0.75" header="0.33" footer="0.33"/>
  <pageSetup orientation="portrait" blackAndWhite="1" horizontalDpi="1200" verticalDpi="1200" r:id="rId1"/>
  <headerFooter scaleWithDoc="0">
    <oddHeader>&amp;R&amp;"Arial,Regular"&amp;10Exhibit 4.3</oddHeader>
  </headerFooter>
  <ignoredErrors>
    <ignoredError sqref="C3:G3" numberStoredAsText="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dimension ref="A1:I50"/>
  <sheetViews>
    <sheetView zoomScaleNormal="100" zoomScaleSheetLayoutView="85" workbookViewId="0"/>
  </sheetViews>
  <sheetFormatPr defaultColWidth="9.1796875" defaultRowHeight="12.5"/>
  <cols>
    <col min="1" max="1" width="9.26953125" style="174" bestFit="1" customWidth="1"/>
    <col min="2" max="2" width="7.26953125" style="174" customWidth="1"/>
    <col min="3" max="3" width="13.7265625" style="174" customWidth="1"/>
    <col min="4" max="4" width="7.26953125" style="174" customWidth="1"/>
    <col min="5" max="5" width="13.7265625" style="174" customWidth="1"/>
    <col min="6" max="6" width="7.26953125" style="174" customWidth="1"/>
    <col min="7" max="7" width="13.7265625" style="174" customWidth="1"/>
    <col min="8" max="8" width="7.26953125" style="174" customWidth="1"/>
    <col min="9" max="9" width="9.81640625" style="44" customWidth="1"/>
    <col min="10" max="16384" width="9.1796875" style="174"/>
  </cols>
  <sheetData>
    <row r="1" spans="1:9" ht="13">
      <c r="A1" s="213" t="s">
        <v>115</v>
      </c>
      <c r="B1" s="213"/>
      <c r="C1" s="213"/>
      <c r="D1" s="213"/>
      <c r="E1" s="213"/>
      <c r="F1" s="213"/>
      <c r="G1" s="213"/>
      <c r="H1" s="213"/>
      <c r="I1" s="213"/>
    </row>
    <row r="2" spans="1:9">
      <c r="A2" s="39"/>
      <c r="B2" s="39"/>
      <c r="C2" s="40"/>
      <c r="D2" s="40"/>
      <c r="E2" s="40"/>
      <c r="F2" s="251"/>
      <c r="G2" s="251"/>
      <c r="H2" s="251"/>
      <c r="I2" s="251"/>
    </row>
    <row r="3" spans="1:9">
      <c r="A3" s="39"/>
      <c r="B3" s="39"/>
      <c r="C3" s="40" t="s">
        <v>45</v>
      </c>
      <c r="D3" s="40"/>
      <c r="E3" s="40" t="s">
        <v>46</v>
      </c>
      <c r="F3" s="39"/>
      <c r="G3" s="40" t="s">
        <v>47</v>
      </c>
      <c r="H3" s="251"/>
      <c r="I3" s="251" t="s">
        <v>48</v>
      </c>
    </row>
    <row r="4" spans="1:9">
      <c r="A4" s="39"/>
      <c r="B4" s="44"/>
      <c r="C4" s="113" t="s">
        <v>63</v>
      </c>
      <c r="D4" s="39"/>
      <c r="E4" s="113" t="s">
        <v>63</v>
      </c>
      <c r="F4" s="39"/>
      <c r="G4" s="39" t="s">
        <v>116</v>
      </c>
      <c r="H4" s="39"/>
      <c r="I4" s="29" t="s">
        <v>64</v>
      </c>
    </row>
    <row r="5" spans="1:9">
      <c r="A5" s="39"/>
      <c r="B5" s="44"/>
      <c r="C5" s="113" t="s">
        <v>88</v>
      </c>
      <c r="D5" s="39"/>
      <c r="E5" s="113" t="s">
        <v>117</v>
      </c>
      <c r="F5" s="39"/>
      <c r="G5" s="39" t="s">
        <v>118</v>
      </c>
      <c r="H5" s="39"/>
      <c r="I5" s="39" t="s">
        <v>5</v>
      </c>
    </row>
    <row r="6" spans="1:9">
      <c r="A6" s="39" t="s">
        <v>54</v>
      </c>
      <c r="B6" s="44"/>
      <c r="C6" s="113" t="s">
        <v>92</v>
      </c>
      <c r="D6" s="39"/>
      <c r="E6" s="113" t="s">
        <v>92</v>
      </c>
      <c r="F6" s="39"/>
      <c r="G6" s="39" t="s">
        <v>70</v>
      </c>
      <c r="H6" s="39"/>
      <c r="I6" s="39" t="s">
        <v>119</v>
      </c>
    </row>
    <row r="7" spans="1:9">
      <c r="A7" s="41" t="s">
        <v>8</v>
      </c>
      <c r="B7" s="44"/>
      <c r="C7" s="255" t="s">
        <v>120</v>
      </c>
      <c r="D7" s="39"/>
      <c r="E7" s="255" t="s">
        <v>369</v>
      </c>
      <c r="F7" s="39"/>
      <c r="G7" s="41" t="s">
        <v>370</v>
      </c>
      <c r="H7" s="39"/>
      <c r="I7" s="41" t="s">
        <v>75</v>
      </c>
    </row>
    <row r="8" spans="1:9">
      <c r="A8" s="39"/>
      <c r="B8" s="44"/>
      <c r="C8" s="44"/>
      <c r="D8" s="44"/>
      <c r="E8" s="44"/>
      <c r="F8" s="44"/>
      <c r="G8" s="44"/>
      <c r="H8" s="44"/>
    </row>
    <row r="9" spans="1:9">
      <c r="A9" s="39">
        <f>+'Exhibit 4.1'!B9</f>
        <v>1987</v>
      </c>
      <c r="B9" s="44"/>
      <c r="C9" s="256">
        <f>SUMIFS('Exhibit 4.2'!L:L,'Exhibit 4.2'!A:A,$A9)</f>
        <v>3.7999999999999916E-2</v>
      </c>
      <c r="D9" s="256"/>
      <c r="E9" s="256">
        <f>SUMIFS('Exhibit 4.3'!G:G,'Exhibit 4.3'!A:A,$A9)</f>
        <v>0</v>
      </c>
      <c r="F9" s="257"/>
      <c r="G9" s="256">
        <f t="shared" ref="G9:G45" si="0">(C9+1)*(1+E9)-1</f>
        <v>3.7999999999999812E-2</v>
      </c>
      <c r="H9" s="44"/>
      <c r="I9" s="30">
        <f t="shared" ref="I9:I42" si="1">I10*(1+G10)</f>
        <v>0.80302859499261059</v>
      </c>
    </row>
    <row r="10" spans="1:9">
      <c r="A10" s="39">
        <f>+'Exhibit 4.1'!B10</f>
        <v>1988</v>
      </c>
      <c r="B10" s="44"/>
      <c r="C10" s="256">
        <f>SUMIFS('Exhibit 4.2'!L:L,'Exhibit 4.2'!A:A,$A10)</f>
        <v>3.7999999999999999E-2</v>
      </c>
      <c r="D10" s="256"/>
      <c r="E10" s="256">
        <f>SUMIFS('Exhibit 4.3'!G:G,'Exhibit 4.3'!A:A,$A10)</f>
        <v>0</v>
      </c>
      <c r="F10" s="257"/>
      <c r="G10" s="256">
        <f t="shared" si="0"/>
        <v>3.8000000000000034E-2</v>
      </c>
      <c r="H10" s="44"/>
      <c r="I10" s="30">
        <f t="shared" si="1"/>
        <v>0.7736306310140757</v>
      </c>
    </row>
    <row r="11" spans="1:9">
      <c r="A11" s="39">
        <f>+'Exhibit 4.1'!B11</f>
        <v>1989</v>
      </c>
      <c r="B11" s="44"/>
      <c r="C11" s="256">
        <f>SUMIFS('Exhibit 4.2'!L:L,'Exhibit 4.2'!A:A,$A11)</f>
        <v>0.03</v>
      </c>
      <c r="D11" s="256"/>
      <c r="E11" s="256">
        <f>SUMIFS('Exhibit 4.3'!G:G,'Exhibit 4.3'!A:A,$A11)</f>
        <v>0</v>
      </c>
      <c r="F11" s="257"/>
      <c r="G11" s="256">
        <f t="shared" si="0"/>
        <v>3.0000000000000027E-2</v>
      </c>
      <c r="H11" s="44"/>
      <c r="I11" s="30">
        <f t="shared" si="1"/>
        <v>0.75109770001366571</v>
      </c>
    </row>
    <row r="12" spans="1:9">
      <c r="A12" s="39">
        <f>+'Exhibit 4.1'!B12</f>
        <v>1990</v>
      </c>
      <c r="B12" s="44"/>
      <c r="C12" s="256">
        <f>SUMIFS('Exhibit 4.2'!L:L,'Exhibit 4.2'!A:A,$A12)</f>
        <v>3.6999999999999998E-2</v>
      </c>
      <c r="D12" s="256"/>
      <c r="E12" s="256">
        <f>SUMIFS('Exhibit 4.3'!G:G,'Exhibit 4.3'!A:A,$A12)</f>
        <v>0.19060699999999997</v>
      </c>
      <c r="F12" s="257"/>
      <c r="G12" s="256">
        <f t="shared" si="0"/>
        <v>0.23465945899999996</v>
      </c>
      <c r="H12" s="44"/>
      <c r="I12" s="30">
        <f t="shared" si="1"/>
        <v>0.60834402112952646</v>
      </c>
    </row>
    <row r="13" spans="1:9">
      <c r="A13" s="39">
        <f>+'Exhibit 4.1'!B13</f>
        <v>1991</v>
      </c>
      <c r="B13" s="44"/>
      <c r="C13" s="256">
        <f>SUMIFS('Exhibit 4.2'!L:L,'Exhibit 4.2'!A:A,$A13)</f>
        <v>3.5999999999999997E-2</v>
      </c>
      <c r="D13" s="256"/>
      <c r="E13" s="256">
        <f>SUMIFS('Exhibit 4.3'!G:G,'Exhibit 4.3'!A:A,$A13)</f>
        <v>0.1286480000000001</v>
      </c>
      <c r="F13" s="257"/>
      <c r="G13" s="256">
        <f t="shared" si="0"/>
        <v>0.16927932800000023</v>
      </c>
      <c r="H13" s="44"/>
      <c r="I13" s="30">
        <f t="shared" si="1"/>
        <v>0.52027262140182673</v>
      </c>
    </row>
    <row r="14" spans="1:9">
      <c r="A14" s="39">
        <f>+'Exhibit 4.1'!B14</f>
        <v>1992</v>
      </c>
      <c r="B14" s="44"/>
      <c r="C14" s="256">
        <f>SUMIFS('Exhibit 4.2'!L:L,'Exhibit 4.2'!A:A,$A14)</f>
        <v>0.03</v>
      </c>
      <c r="D14" s="256"/>
      <c r="E14" s="256">
        <f>SUMIFS('Exhibit 4.3'!G:G,'Exhibit 4.3'!A:A,$A14)</f>
        <v>-7.9420000000000046E-2</v>
      </c>
      <c r="F14" s="257"/>
      <c r="G14" s="256">
        <f t="shared" si="0"/>
        <v>-5.1802600000000032E-2</v>
      </c>
      <c r="H14" s="44"/>
      <c r="I14" s="30">
        <f t="shared" si="1"/>
        <v>0.54869652817211556</v>
      </c>
    </row>
    <row r="15" spans="1:9">
      <c r="A15" s="39">
        <f>+'Exhibit 4.1'!B15</f>
        <v>1993</v>
      </c>
      <c r="B15" s="44"/>
      <c r="C15" s="256">
        <f>SUMIFS('Exhibit 4.2'!L:L,'Exhibit 4.2'!A:A,$A15)</f>
        <v>2.7E-2</v>
      </c>
      <c r="D15" s="256"/>
      <c r="E15" s="256">
        <f>SUMIFS('Exhibit 4.3'!G:G,'Exhibit 4.3'!A:A,$A15)</f>
        <v>-0.18673300000000004</v>
      </c>
      <c r="F15" s="257"/>
      <c r="G15" s="256">
        <f t="shared" si="0"/>
        <v>-0.16477479100000014</v>
      </c>
      <c r="H15" s="44"/>
      <c r="I15" s="30">
        <f t="shared" si="1"/>
        <v>0.65694440524497588</v>
      </c>
    </row>
    <row r="16" spans="1:9">
      <c r="A16" s="39">
        <f>+'Exhibit 4.1'!B16</f>
        <v>1994</v>
      </c>
      <c r="B16" s="44"/>
      <c r="C16" s="256">
        <f>SUMIFS('Exhibit 4.2'!L:L,'Exhibit 4.2'!A:A,$A16)</f>
        <v>-2.3E-2</v>
      </c>
      <c r="D16" s="256"/>
      <c r="E16" s="256">
        <f>SUMIFS('Exhibit 4.3'!G:G,'Exhibit 4.3'!A:A,$A16)</f>
        <v>-2.3078000000000154E-2</v>
      </c>
      <c r="F16" s="257"/>
      <c r="G16" s="256">
        <f t="shared" si="0"/>
        <v>-4.5547206000000173E-2</v>
      </c>
      <c r="H16" s="44"/>
      <c r="I16" s="30">
        <f t="shared" si="1"/>
        <v>0.68829428691994166</v>
      </c>
    </row>
    <row r="17" spans="1:9">
      <c r="A17" s="39">
        <f>+'Exhibit 4.1'!B17</f>
        <v>1995</v>
      </c>
      <c r="B17" s="44"/>
      <c r="C17" s="256">
        <f>SUMIFS('Exhibit 4.2'!L:L,'Exhibit 4.2'!A:A,$A17)</f>
        <v>8.9999999999999993E-3</v>
      </c>
      <c r="D17" s="256"/>
      <c r="E17" s="256">
        <f>SUMIFS('Exhibit 4.3'!G:G,'Exhibit 4.3'!A:A,$A17)</f>
        <v>4.9999999999998934E-3</v>
      </c>
      <c r="F17" s="257"/>
      <c r="G17" s="256">
        <f t="shared" si="0"/>
        <v>1.4044999999999863E-2</v>
      </c>
      <c r="H17" s="44"/>
      <c r="I17" s="30">
        <f t="shared" si="1"/>
        <v>0.67876108744675212</v>
      </c>
    </row>
    <row r="18" spans="1:9">
      <c r="A18" s="39">
        <f>+'Exhibit 4.1'!B18</f>
        <v>1996</v>
      </c>
      <c r="B18" s="44"/>
      <c r="C18" s="256">
        <f>SUMIFS('Exhibit 4.2'!L:L,'Exhibit 4.2'!A:A,$A18)</f>
        <v>0.01</v>
      </c>
      <c r="D18" s="256"/>
      <c r="E18" s="256">
        <f>SUMIFS('Exhibit 4.3'!G:G,'Exhibit 4.3'!A:A,$A18)</f>
        <v>4.0000000000000036E-3</v>
      </c>
      <c r="F18" s="257"/>
      <c r="G18" s="256">
        <f t="shared" si="0"/>
        <v>1.4040000000000052E-2</v>
      </c>
      <c r="H18" s="44"/>
      <c r="I18" s="30">
        <f t="shared" si="1"/>
        <v>0.66936322772943091</v>
      </c>
    </row>
    <row r="19" spans="1:9">
      <c r="A19" s="39">
        <f>+'Exhibit 4.1'!B19</f>
        <v>1997</v>
      </c>
      <c r="B19" s="44"/>
      <c r="C19" s="256">
        <f>SUMIFS('Exhibit 4.2'!L:L,'Exhibit 4.2'!A:A,$A19)</f>
        <v>7.0000000000000001E-3</v>
      </c>
      <c r="D19" s="256"/>
      <c r="E19" s="256">
        <f>SUMIFS('Exhibit 4.3'!G:G,'Exhibit 4.3'!A:A,$A19)</f>
        <v>2.0000000000000018E-3</v>
      </c>
      <c r="F19" s="257"/>
      <c r="G19" s="256">
        <f t="shared" si="0"/>
        <v>9.0139999999998555E-3</v>
      </c>
      <c r="H19" s="44"/>
      <c r="I19" s="30">
        <f t="shared" si="1"/>
        <v>0.66338348895994603</v>
      </c>
    </row>
    <row r="20" spans="1:9">
      <c r="A20" s="39">
        <f>+'Exhibit 4.1'!B20</f>
        <v>1998</v>
      </c>
      <c r="B20" s="44"/>
      <c r="C20" s="256">
        <f>SUMIFS('Exhibit 4.2'!L:L,'Exhibit 4.2'!A:A,$A20)</f>
        <v>8.0000000000000002E-3</v>
      </c>
      <c r="D20" s="256"/>
      <c r="E20" s="256">
        <f>SUMIFS('Exhibit 4.3'!G:G,'Exhibit 4.3'!A:A,$A20)</f>
        <v>0.12599999999999989</v>
      </c>
      <c r="F20" s="257"/>
      <c r="G20" s="256">
        <f t="shared" si="0"/>
        <v>0.13500799999999979</v>
      </c>
      <c r="H20" s="44"/>
      <c r="I20" s="30">
        <f t="shared" si="1"/>
        <v>0.58447472525299038</v>
      </c>
    </row>
    <row r="21" spans="1:9">
      <c r="A21" s="39">
        <f>+'Exhibit 4.1'!B21</f>
        <v>1999</v>
      </c>
      <c r="B21" s="44"/>
      <c r="C21" s="256">
        <f>SUMIFS('Exhibit 4.2'!L:L,'Exhibit 4.2'!A:A,$A21)</f>
        <v>2.5000000000000001E-2</v>
      </c>
      <c r="D21" s="256"/>
      <c r="E21" s="256">
        <f>SUMIFS('Exhibit 4.3'!G:G,'Exhibit 4.3'!A:A,$A21)</f>
        <v>0.12599999999999989</v>
      </c>
      <c r="F21" s="257"/>
      <c r="G21" s="256">
        <f t="shared" si="0"/>
        <v>0.15414999999999979</v>
      </c>
      <c r="H21" s="44"/>
      <c r="I21" s="30">
        <f t="shared" si="1"/>
        <v>0.50641140688211284</v>
      </c>
    </row>
    <row r="22" spans="1:9">
      <c r="A22" s="39">
        <f>+'Exhibit 4.1'!B22</f>
        <v>2000</v>
      </c>
      <c r="B22" s="44"/>
      <c r="C22" s="256">
        <f>SUMIFS('Exhibit 4.2'!L:L,'Exhibit 4.2'!A:A,$A22)</f>
        <v>1.7000000000000001E-2</v>
      </c>
      <c r="D22" s="256"/>
      <c r="E22" s="256">
        <f>SUMIFS('Exhibit 4.3'!G:G,'Exhibit 4.3'!A:A,$A22)</f>
        <v>7.0000000000000062E-2</v>
      </c>
      <c r="F22" s="257"/>
      <c r="G22" s="256">
        <f t="shared" si="0"/>
        <v>8.8189999999999991E-2</v>
      </c>
      <c r="H22" s="44"/>
      <c r="I22" s="30">
        <f t="shared" si="1"/>
        <v>0.46537039201069008</v>
      </c>
    </row>
    <row r="23" spans="1:9">
      <c r="A23" s="39">
        <f>+'Exhibit 4.1'!B23</f>
        <v>2001</v>
      </c>
      <c r="B23" s="44"/>
      <c r="C23" s="256">
        <f>SUMIFS('Exhibit 4.2'!L:L,'Exhibit 4.2'!A:A,$A23)</f>
        <v>2.8999999999999998E-2</v>
      </c>
      <c r="D23" s="256"/>
      <c r="E23" s="256">
        <f>SUMIFS('Exhibit 4.3'!G:G,'Exhibit 4.3'!A:A,$A23)</f>
        <v>6.6000000000000059E-2</v>
      </c>
      <c r="F23" s="257"/>
      <c r="G23" s="256">
        <f t="shared" si="0"/>
        <v>9.6913999999999945E-2</v>
      </c>
      <c r="H23" s="44"/>
      <c r="I23" s="30">
        <f t="shared" si="1"/>
        <v>0.42425421866316787</v>
      </c>
    </row>
    <row r="24" spans="1:9">
      <c r="A24" s="39">
        <f>+'Exhibit 4.1'!B24</f>
        <v>2002</v>
      </c>
      <c r="B24" s="44"/>
      <c r="C24" s="256">
        <f>SUMIFS('Exhibit 4.2'!L:L,'Exhibit 4.2'!A:A,$A24)</f>
        <v>0.02</v>
      </c>
      <c r="D24" s="256"/>
      <c r="E24" s="256">
        <f>SUMIFS('Exhibit 4.3'!G:G,'Exhibit 4.3'!A:A,$A24)</f>
        <v>-5.600000000000005E-2</v>
      </c>
      <c r="F24" s="257"/>
      <c r="G24" s="256">
        <f t="shared" si="0"/>
        <v>-3.7120000000000042E-2</v>
      </c>
      <c r="H24" s="44"/>
      <c r="I24" s="30">
        <f t="shared" si="1"/>
        <v>0.44060964882765025</v>
      </c>
    </row>
    <row r="25" spans="1:9">
      <c r="A25" s="39">
        <f>+'Exhibit 4.1'!B25</f>
        <v>2003</v>
      </c>
      <c r="B25" s="44"/>
      <c r="C25" s="256">
        <f>SUMIFS('Exhibit 4.2'!L:L,'Exhibit 4.2'!A:A,$A25)</f>
        <v>1.4E-2</v>
      </c>
      <c r="D25" s="256"/>
      <c r="E25" s="256">
        <f>SUMIFS('Exhibit 4.3'!G:G,'Exhibit 4.3'!A:A,$A25)</f>
        <v>-6.0000000000000053E-2</v>
      </c>
      <c r="F25" s="257"/>
      <c r="G25" s="256">
        <f t="shared" si="0"/>
        <v>-4.6839999999999993E-2</v>
      </c>
      <c r="H25" s="44"/>
      <c r="I25" s="30">
        <f t="shared" si="1"/>
        <v>0.46226200095225384</v>
      </c>
    </row>
    <row r="26" spans="1:9">
      <c r="A26" s="39">
        <f>+'Exhibit 4.1'!B26</f>
        <v>2004</v>
      </c>
      <c r="B26" s="44"/>
      <c r="C26" s="256">
        <f>SUMIFS('Exhibit 4.2'!L:L,'Exhibit 4.2'!A:A,$A26)</f>
        <v>0</v>
      </c>
      <c r="D26" s="256"/>
      <c r="E26" s="256">
        <f>SUMIFS('Exhibit 4.3'!G:G,'Exhibit 4.3'!A:A,$A26)</f>
        <v>-0.33850000000000002</v>
      </c>
      <c r="F26" s="257"/>
      <c r="G26" s="256">
        <f t="shared" si="0"/>
        <v>-0.33850000000000002</v>
      </c>
      <c r="H26" s="44"/>
      <c r="I26" s="30">
        <f t="shared" si="1"/>
        <v>0.69880876939116232</v>
      </c>
    </row>
    <row r="27" spans="1:9">
      <c r="A27" s="39">
        <f>+'Exhibit 4.1'!B27</f>
        <v>2005</v>
      </c>
      <c r="B27" s="44"/>
      <c r="C27" s="256">
        <f>SUMIFS('Exhibit 4.2'!L:L,'Exhibit 4.2'!A:A,$A27)</f>
        <v>0</v>
      </c>
      <c r="D27" s="256"/>
      <c r="E27" s="256">
        <f>SUMIFS('Exhibit 4.3'!G:G,'Exhibit 4.3'!A:A,$A27)</f>
        <v>-0.13900000000000001</v>
      </c>
      <c r="F27" s="257"/>
      <c r="G27" s="256">
        <f t="shared" si="0"/>
        <v>-0.13900000000000001</v>
      </c>
      <c r="H27" s="44"/>
      <c r="I27" s="30">
        <f t="shared" si="1"/>
        <v>0.81162458698160544</v>
      </c>
    </row>
    <row r="28" spans="1:9">
      <c r="A28" s="39">
        <f>+'Exhibit 4.1'!B28</f>
        <v>2006</v>
      </c>
      <c r="B28" s="44"/>
      <c r="C28" s="256">
        <f>SUMIFS('Exhibit 4.2'!L:L,'Exhibit 4.2'!A:A,$A28)</f>
        <v>3.0000000000000001E-3</v>
      </c>
      <c r="D28" s="256"/>
      <c r="E28" s="256">
        <f>SUMIFS('Exhibit 4.3'!G:G,'Exhibit 4.3'!A:A,$A28)</f>
        <v>-5.1052000000000097E-2</v>
      </c>
      <c r="F28" s="257"/>
      <c r="G28" s="256">
        <f t="shared" si="0"/>
        <v>-4.8205156000000193E-2</v>
      </c>
      <c r="H28" s="44"/>
      <c r="I28" s="30">
        <f t="shared" si="1"/>
        <v>0.85273059850869037</v>
      </c>
    </row>
    <row r="29" spans="1:9">
      <c r="A29" s="39">
        <f>+'Exhibit 4.1'!B29</f>
        <v>2007</v>
      </c>
      <c r="B29" s="44"/>
      <c r="C29" s="256">
        <f>SUMIFS('Exhibit 4.2'!L:L,'Exhibit 4.2'!A:A,$A29)</f>
        <v>1.8000000000000002E-2</v>
      </c>
      <c r="D29" s="256"/>
      <c r="E29" s="256">
        <f>SUMIFS('Exhibit 4.3'!G:G,'Exhibit 4.3'!A:A,$A29)</f>
        <v>9.9999999999988987E-4</v>
      </c>
      <c r="F29" s="257"/>
      <c r="G29" s="256">
        <f t="shared" si="0"/>
        <v>1.9017999999999979E-2</v>
      </c>
      <c r="H29" s="44"/>
      <c r="I29" s="30">
        <f t="shared" si="1"/>
        <v>0.8368160312268188</v>
      </c>
    </row>
    <row r="30" spans="1:9">
      <c r="A30" s="39">
        <f>+'Exhibit 4.1'!B30</f>
        <v>2008</v>
      </c>
      <c r="B30" s="44"/>
      <c r="C30" s="256">
        <f>SUMIFS('Exhibit 4.2'!L:L,'Exhibit 4.2'!A:A,$A30)</f>
        <v>2E-3</v>
      </c>
      <c r="D30" s="256"/>
      <c r="E30" s="256">
        <f>SUMIFS('Exhibit 4.3'!G:G,'Exhibit 4.3'!A:A,$A30)</f>
        <v>5.0059999999998439E-3</v>
      </c>
      <c r="F30" s="257"/>
      <c r="G30" s="256">
        <f t="shared" si="0"/>
        <v>7.0160119999997939E-3</v>
      </c>
      <c r="H30" s="44"/>
      <c r="I30" s="30">
        <f t="shared" si="1"/>
        <v>0.83098582470883187</v>
      </c>
    </row>
    <row r="31" spans="1:9">
      <c r="A31" s="39">
        <f>+'Exhibit 4.1'!B31</f>
        <v>2009</v>
      </c>
      <c r="B31" s="44"/>
      <c r="C31" s="256">
        <f>SUMIFS('Exhibit 4.2'!L:L,'Exhibit 4.2'!A:A,$A31)</f>
        <v>4.0000000000000001E-3</v>
      </c>
      <c r="D31" s="256"/>
      <c r="E31" s="256">
        <f>SUMIFS('Exhibit 4.3'!G:G,'Exhibit 4.3'!A:A,$A31)</f>
        <v>1.0000000000000009E-2</v>
      </c>
      <c r="F31" s="257"/>
      <c r="G31" s="256">
        <f t="shared" si="0"/>
        <v>1.4040000000000052E-2</v>
      </c>
      <c r="H31" s="44"/>
      <c r="I31" s="30">
        <f t="shared" si="1"/>
        <v>0.81948032100196422</v>
      </c>
    </row>
    <row r="32" spans="1:9">
      <c r="A32" s="39">
        <f>+'Exhibit 4.1'!B32</f>
        <v>2010</v>
      </c>
      <c r="B32" s="44"/>
      <c r="C32" s="256">
        <f>SUMIFS('Exhibit 4.2'!L:L,'Exhibit 4.2'!A:A,$A32)</f>
        <v>3.0000000000000001E-3</v>
      </c>
      <c r="D32" s="256"/>
      <c r="E32" s="256">
        <f>SUMIFS('Exhibit 4.3'!G:G,'Exhibit 4.3'!A:A,$A32)</f>
        <v>0</v>
      </c>
      <c r="F32" s="257"/>
      <c r="G32" s="256">
        <f t="shared" si="0"/>
        <v>2.9999999999998916E-3</v>
      </c>
      <c r="H32" s="44"/>
      <c r="I32" s="30">
        <f t="shared" si="1"/>
        <v>0.81702923330205812</v>
      </c>
    </row>
    <row r="33" spans="1:9">
      <c r="A33" s="39">
        <f>+'Exhibit 4.1'!B33</f>
        <v>2011</v>
      </c>
      <c r="B33" s="44"/>
      <c r="C33" s="256">
        <f>SUMIFS('Exhibit 4.2'!L:L,'Exhibit 4.2'!A:A,$A33)</f>
        <v>3.0000000000000001E-3</v>
      </c>
      <c r="D33" s="256"/>
      <c r="E33" s="256">
        <f>SUMIFS('Exhibit 4.3'!G:G,'Exhibit 4.3'!A:A,$A33)</f>
        <v>-2.0000000000000018E-2</v>
      </c>
      <c r="F33" s="257"/>
      <c r="G33" s="256">
        <f t="shared" si="0"/>
        <v>-1.7060000000000075E-2</v>
      </c>
      <c r="H33" s="44"/>
      <c r="I33" s="30">
        <f t="shared" si="1"/>
        <v>0.83120967027698356</v>
      </c>
    </row>
    <row r="34" spans="1:9">
      <c r="A34" s="39">
        <f>+'Exhibit 4.1'!B34</f>
        <v>2012</v>
      </c>
      <c r="B34" s="44"/>
      <c r="C34" s="256">
        <f>SUMIFS('Exhibit 4.2'!L:L,'Exhibit 4.2'!A:A,$A34)</f>
        <v>1E-3</v>
      </c>
      <c r="D34" s="256"/>
      <c r="E34" s="256">
        <f>SUMIFS('Exhibit 4.3'!G:G,'Exhibit 4.3'!A:A,$A34)</f>
        <v>-4.500000000000004E-2</v>
      </c>
      <c r="F34" s="257"/>
      <c r="G34" s="256">
        <f t="shared" si="0"/>
        <v>-4.4045000000000112E-2</v>
      </c>
      <c r="H34" s="44"/>
      <c r="I34" s="30">
        <f t="shared" si="1"/>
        <v>0.86950711098010225</v>
      </c>
    </row>
    <row r="35" spans="1:9">
      <c r="A35" s="39">
        <f>+'Exhibit 4.1'!B35</f>
        <v>2013</v>
      </c>
      <c r="B35" s="44"/>
      <c r="C35" s="256">
        <f>SUMIFS('Exhibit 4.2'!L:L,'Exhibit 4.2'!A:A,$A35)</f>
        <v>1E-3</v>
      </c>
      <c r="D35" s="256"/>
      <c r="E35" s="256">
        <f>SUMIFS('Exhibit 4.3'!G:G,'Exhibit 4.3'!A:A,$A35)</f>
        <v>-8.0164000000000013E-2</v>
      </c>
      <c r="F35" s="257"/>
      <c r="G35" s="256">
        <f t="shared" si="0"/>
        <v>-7.9244164000000117E-2</v>
      </c>
      <c r="H35" s="44"/>
      <c r="I35" s="30">
        <f t="shared" si="1"/>
        <v>0.94434059170068874</v>
      </c>
    </row>
    <row r="36" spans="1:9">
      <c r="A36" s="39">
        <f>+'Exhibit 4.1'!B36</f>
        <v>2014</v>
      </c>
      <c r="B36" s="207"/>
      <c r="C36" s="256">
        <f>SUMIFS('Exhibit 4.2'!L:L,'Exhibit 4.2'!A:A,$A36)</f>
        <v>3.0000000000000001E-3</v>
      </c>
      <c r="D36" s="258"/>
      <c r="E36" s="256">
        <f>SUMIFS('Exhibit 4.3'!G:G,'Exhibit 4.3'!A:A,$A36)</f>
        <v>-4.7780000000000156E-2</v>
      </c>
      <c r="F36" s="259"/>
      <c r="G36" s="258">
        <f t="shared" si="0"/>
        <v>-4.4923340000000311E-2</v>
      </c>
      <c r="H36" s="207"/>
      <c r="I36" s="30">
        <f t="shared" si="1"/>
        <v>0.98875894601035386</v>
      </c>
    </row>
    <row r="37" spans="1:9">
      <c r="A37" s="39">
        <f>+'Exhibit 4.1'!B37</f>
        <v>2015</v>
      </c>
      <c r="B37" s="207"/>
      <c r="C37" s="256">
        <f>SUMIFS('Exhibit 4.2'!L:L,'Exhibit 4.2'!A:A,$A37)</f>
        <v>2E-3</v>
      </c>
      <c r="D37" s="258"/>
      <c r="E37" s="256">
        <f>SUMIFS('Exhibit 4.3'!G:G,'Exhibit 4.3'!A:A,$A37)</f>
        <v>-2.1000000000000019E-2</v>
      </c>
      <c r="F37" s="259"/>
      <c r="G37" s="258">
        <f t="shared" si="0"/>
        <v>-1.9042000000000003E-2</v>
      </c>
      <c r="H37" s="207"/>
      <c r="I37" s="30">
        <f t="shared" si="1"/>
        <v>1.0079523751377264</v>
      </c>
    </row>
    <row r="38" spans="1:9">
      <c r="A38" s="39">
        <f>+'Exhibit 4.1'!B38</f>
        <v>2016</v>
      </c>
      <c r="B38" s="207"/>
      <c r="C38" s="256">
        <f>SUMIFS('Exhibit 4.2'!L:L,'Exhibit 4.2'!A:A,$A38)</f>
        <v>4.0000000000000001E-3</v>
      </c>
      <c r="D38" s="258"/>
      <c r="E38" s="256">
        <f>SUMIFS('Exhibit 4.3'!G:G,'Exhibit 4.3'!A:A,$A38)</f>
        <v>-7.0000000000000062E-3</v>
      </c>
      <c r="F38" s="259"/>
      <c r="G38" s="258">
        <f t="shared" si="0"/>
        <v>-3.0280000000000307E-3</v>
      </c>
      <c r="H38" s="207"/>
      <c r="I38" s="30">
        <f t="shared" si="1"/>
        <v>1.0110137246961062</v>
      </c>
    </row>
    <row r="39" spans="1:9">
      <c r="A39" s="39">
        <f>+'Exhibit 4.1'!B39</f>
        <v>2017</v>
      </c>
      <c r="B39" s="207"/>
      <c r="C39" s="256">
        <f>SUMIFS('Exhibit 4.2'!L:L,'Exhibit 4.2'!A:A,$A39)</f>
        <v>2E-3</v>
      </c>
      <c r="D39" s="258"/>
      <c r="E39" s="256">
        <f>SUMIFS('Exhibit 4.3'!G:G,'Exhibit 4.3'!A:A,$A39)</f>
        <v>-5.0000000000000044E-3</v>
      </c>
      <c r="F39" s="259"/>
      <c r="G39" s="258">
        <f t="shared" si="0"/>
        <v>-3.0099999999999572E-3</v>
      </c>
      <c r="H39" s="207"/>
      <c r="I39" s="30">
        <f t="shared" si="1"/>
        <v>1.0140660635473837</v>
      </c>
    </row>
    <row r="40" spans="1:9">
      <c r="A40" s="39">
        <f>+'Exhibit 4.1'!B40</f>
        <v>2018</v>
      </c>
      <c r="B40" s="207"/>
      <c r="C40" s="256">
        <f>SUMIFS('Exhibit 4.2'!L:L,'Exhibit 4.2'!A:A,$A40)</f>
        <v>2E-3</v>
      </c>
      <c r="D40" s="258"/>
      <c r="E40" s="256">
        <f>SUMIFS('Exhibit 4.3'!G:G,'Exhibit 4.3'!A:A,$A40)</f>
        <v>-3.0000000000000027E-3</v>
      </c>
      <c r="F40" s="259"/>
      <c r="G40" s="258">
        <f t="shared" si="0"/>
        <v>-1.0059999999999514E-3</v>
      </c>
      <c r="H40" s="207"/>
      <c r="I40" s="30">
        <f t="shared" si="1"/>
        <v>1.0150872413121437</v>
      </c>
    </row>
    <row r="41" spans="1:9" s="224" customFormat="1">
      <c r="A41" s="39">
        <f>+'Exhibit 4.1'!B41</f>
        <v>2019</v>
      </c>
      <c r="B41" s="207"/>
      <c r="C41" s="256">
        <f>SUMIFS('Exhibit 4.2'!L:L,'Exhibit 4.2'!A:A,$A41)</f>
        <v>4.0000000000000001E-3</v>
      </c>
      <c r="D41" s="258"/>
      <c r="E41" s="256">
        <f>SUMIFS('Exhibit 4.3'!G:G,'Exhibit 4.3'!A:A,$A41)</f>
        <v>0</v>
      </c>
      <c r="F41" s="259"/>
      <c r="G41" s="258">
        <f t="shared" ref="G41:G42" si="2">(C41+1)*(1+E41)-1</f>
        <v>4.0000000000000036E-3</v>
      </c>
      <c r="H41" s="207"/>
      <c r="I41" s="30">
        <f t="shared" si="1"/>
        <v>1.0110430690359997</v>
      </c>
    </row>
    <row r="42" spans="1:9" s="236" customFormat="1">
      <c r="A42" s="39">
        <f>+'Exhibit 4.1'!B42</f>
        <v>2020</v>
      </c>
      <c r="B42" s="207"/>
      <c r="C42" s="256">
        <f>SUMIFS('Exhibit 4.2'!L:L,'Exhibit 4.2'!A:A,$A42)</f>
        <v>4.0000000000000001E-3</v>
      </c>
      <c r="D42" s="258"/>
      <c r="E42" s="256">
        <f>SUMIFS('Exhibit 4.3'!G:G,'Exhibit 4.3'!A:A,$A42)</f>
        <v>0</v>
      </c>
      <c r="F42" s="259"/>
      <c r="G42" s="258">
        <f t="shared" si="2"/>
        <v>4.0000000000000036E-3</v>
      </c>
      <c r="H42" s="207"/>
      <c r="I42" s="30">
        <f t="shared" si="1"/>
        <v>1.0070150089999996</v>
      </c>
    </row>
    <row r="43" spans="1:9" s="469" customFormat="1">
      <c r="A43" s="39">
        <f>+'Exhibit 4.1'!B43</f>
        <v>2021</v>
      </c>
      <c r="B43" s="207"/>
      <c r="C43" s="256">
        <f>SUMIFS('Exhibit 4.2'!L:L,'Exhibit 4.2'!A:A,$A43)</f>
        <v>3.0000000000000001E-3</v>
      </c>
      <c r="D43" s="258"/>
      <c r="E43" s="256">
        <f>SUMIFS('Exhibit 4.3'!G:G,'Exhibit 4.3'!A:A,$A43)</f>
        <v>0</v>
      </c>
      <c r="F43" s="259"/>
      <c r="G43" s="258">
        <f t="shared" ref="G43" si="3">(C43+1)*(1+E43)-1</f>
        <v>2.9999999999998916E-3</v>
      </c>
      <c r="H43" s="207"/>
      <c r="I43" s="386">
        <f>(1+G45)*(1+G44)</f>
        <v>1.0040029999999998</v>
      </c>
    </row>
    <row r="44" spans="1:9" s="295" customFormat="1">
      <c r="A44" s="39">
        <f>+'Exhibit 4.1'!B44</f>
        <v>2022</v>
      </c>
      <c r="B44" s="207"/>
      <c r="C44" s="256">
        <f>SUMIFS('Exhibit 4.2'!L:L,'Exhibit 4.2'!A:A,$A44)</f>
        <v>3.0000000000000001E-3</v>
      </c>
      <c r="D44" s="258"/>
      <c r="E44" s="256">
        <f>SUMIFS('Exhibit 4.3'!G:G,'Exhibit 4.3'!A:A,$A44)</f>
        <v>0</v>
      </c>
      <c r="F44" s="259"/>
      <c r="G44" s="258">
        <f t="shared" ref="G44" si="4">(C44+1)*(1+E44)-1</f>
        <v>2.9999999999998916E-3</v>
      </c>
      <c r="H44" s="207"/>
      <c r="I44" s="268"/>
    </row>
    <row r="45" spans="1:9">
      <c r="A45" s="39" t="str">
        <f>+'Exhibit 4.1'!B45</f>
        <v>9/1/2022</v>
      </c>
      <c r="B45" s="207"/>
      <c r="C45" s="256">
        <f>SUMIFS('Exhibit 4.2'!L:L,'Exhibit 4.2'!A:A,$A45)</f>
        <v>1E-3</v>
      </c>
      <c r="D45" s="259"/>
      <c r="E45" s="256">
        <f>SUMIFS('Exhibit 4.3'!G:G,'Exhibit 4.3'!A:A,$A45)</f>
        <v>0</v>
      </c>
      <c r="F45" s="259"/>
      <c r="G45" s="258">
        <f t="shared" si="0"/>
        <v>9.9999999999988987E-4</v>
      </c>
      <c r="H45" s="207"/>
      <c r="I45" s="262"/>
    </row>
    <row r="46" spans="1:9">
      <c r="A46" s="39"/>
      <c r="B46" s="207"/>
      <c r="C46" s="207"/>
      <c r="D46" s="207"/>
      <c r="E46" s="207"/>
      <c r="F46" s="207"/>
      <c r="G46" s="207"/>
      <c r="H46" s="207"/>
      <c r="I46" s="207"/>
    </row>
    <row r="47" spans="1:9">
      <c r="A47" s="40" t="s">
        <v>22</v>
      </c>
      <c r="B47" s="261" t="s">
        <v>121</v>
      </c>
      <c r="C47" s="113"/>
      <c r="D47" s="113"/>
      <c r="E47" s="113"/>
      <c r="F47" s="113"/>
      <c r="G47" s="113"/>
      <c r="H47" s="113"/>
      <c r="I47" s="113"/>
    </row>
    <row r="48" spans="1:9">
      <c r="A48" s="40" t="s">
        <v>28</v>
      </c>
      <c r="B48" s="261" t="s">
        <v>122</v>
      </c>
      <c r="C48" s="113"/>
      <c r="D48" s="113"/>
      <c r="E48" s="113"/>
      <c r="F48" s="113"/>
      <c r="G48" s="113"/>
      <c r="H48" s="113"/>
      <c r="I48" s="113"/>
    </row>
    <row r="49" spans="1:9">
      <c r="A49" s="40" t="s">
        <v>38</v>
      </c>
      <c r="B49" s="261" t="s">
        <v>123</v>
      </c>
      <c r="C49" s="113"/>
      <c r="D49" s="113"/>
      <c r="E49" s="113"/>
      <c r="F49" s="113"/>
      <c r="G49" s="113"/>
      <c r="H49" s="113"/>
      <c r="I49" s="113"/>
    </row>
    <row r="50" spans="1:9">
      <c r="A50" s="260" t="s">
        <v>124</v>
      </c>
      <c r="B50" s="261" t="str">
        <f>"These factors adjust the annual impact shown in Column (3) to the "&amp;$A$45&amp;" level."</f>
        <v>These factors adjust the annual impact shown in Column (3) to the 9/1/2022 level.</v>
      </c>
      <c r="C50" s="113"/>
      <c r="D50" s="113"/>
      <c r="E50" s="113"/>
      <c r="F50" s="113"/>
      <c r="G50" s="113"/>
      <c r="H50" s="113"/>
      <c r="I50" s="113"/>
    </row>
  </sheetData>
  <printOptions horizontalCentered="1"/>
  <pageMargins left="0.5" right="0.5" top="0.75" bottom="0.75" header="0.33" footer="0.33"/>
  <pageSetup scale="93" orientation="portrait" blackAndWhite="1" r:id="rId1"/>
  <headerFooter scaleWithDoc="0">
    <oddHeader>&amp;R&amp;"Arial,Regular"&amp;10Exhibit 4.4</oddHeader>
  </headerFooter>
  <ignoredErrors>
    <ignoredError sqref="C3:I3" numberStoredAsText="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dimension ref="A1:G52"/>
  <sheetViews>
    <sheetView zoomScaleNormal="100" zoomScaleSheetLayoutView="100" workbookViewId="0"/>
  </sheetViews>
  <sheetFormatPr defaultColWidth="9.1796875" defaultRowHeight="12.5"/>
  <cols>
    <col min="1" max="1" width="12.7265625" style="108" customWidth="1"/>
    <col min="2" max="2" width="7.7265625" style="108" customWidth="1"/>
    <col min="3" max="3" width="12.7265625" style="108" customWidth="1"/>
    <col min="4" max="4" width="12.7265625" style="108" bestFit="1" customWidth="1"/>
    <col min="5" max="5" width="12.7265625" style="108" customWidth="1"/>
    <col min="6" max="6" width="12.7265625" style="108" bestFit="1" customWidth="1"/>
    <col min="7" max="7" width="17.7265625" style="108" customWidth="1"/>
    <col min="8" max="16384" width="9.1796875" style="108"/>
  </cols>
  <sheetData>
    <row r="1" spans="1:7" ht="13">
      <c r="A1" s="239" t="s">
        <v>125</v>
      </c>
      <c r="B1" s="239"/>
      <c r="C1" s="239"/>
      <c r="D1" s="239"/>
      <c r="E1" s="239"/>
      <c r="F1" s="239"/>
      <c r="G1" s="239"/>
    </row>
    <row r="2" spans="1:7">
      <c r="A2" s="63"/>
      <c r="B2" s="63"/>
      <c r="C2" s="64"/>
      <c r="D2" s="63"/>
      <c r="E2" s="63"/>
      <c r="F2" s="63"/>
      <c r="G2" s="64"/>
    </row>
    <row r="3" spans="1:7">
      <c r="A3" s="63"/>
      <c r="B3" s="63"/>
      <c r="C3" s="64"/>
      <c r="D3" s="63"/>
      <c r="E3" s="63"/>
      <c r="F3" s="63"/>
      <c r="G3" s="64"/>
    </row>
    <row r="4" spans="1:7">
      <c r="A4" s="63"/>
      <c r="B4" s="63"/>
      <c r="C4" s="64"/>
      <c r="D4" s="63"/>
      <c r="E4" s="63"/>
      <c r="F4" s="63"/>
      <c r="G4" s="64"/>
    </row>
    <row r="5" spans="1:7">
      <c r="A5" s="63"/>
      <c r="B5" s="63"/>
      <c r="C5" s="64"/>
      <c r="D5" s="63"/>
      <c r="E5" s="63"/>
      <c r="F5" s="63"/>
      <c r="G5" s="64"/>
    </row>
    <row r="6" spans="1:7">
      <c r="A6" s="63"/>
      <c r="B6" s="63"/>
      <c r="C6" s="40" t="s">
        <v>45</v>
      </c>
      <c r="D6" s="40"/>
      <c r="E6" s="40" t="s">
        <v>46</v>
      </c>
      <c r="F6" s="39"/>
      <c r="G6" s="40" t="s">
        <v>47</v>
      </c>
    </row>
    <row r="7" spans="1:7">
      <c r="A7" s="63"/>
      <c r="B7" s="63"/>
      <c r="C7" s="64"/>
      <c r="D7" s="63"/>
      <c r="E7" s="27" t="s">
        <v>52</v>
      </c>
      <c r="F7" s="63"/>
      <c r="G7" s="30" t="s">
        <v>82</v>
      </c>
    </row>
    <row r="8" spans="1:7">
      <c r="A8" s="122"/>
      <c r="B8" s="10"/>
      <c r="C8" s="48" t="s">
        <v>126</v>
      </c>
      <c r="D8" s="10"/>
      <c r="E8" s="48" t="s">
        <v>126</v>
      </c>
      <c r="F8" s="469"/>
      <c r="G8" s="30" t="str">
        <f>TEXT($A$48,"m/d/yyyy")</f>
        <v>9/1/2022</v>
      </c>
    </row>
    <row r="9" spans="1:7">
      <c r="A9" s="26" t="s">
        <v>8</v>
      </c>
      <c r="B9" s="65"/>
      <c r="C9" s="66" t="s">
        <v>368</v>
      </c>
      <c r="D9" s="65"/>
      <c r="E9" s="66" t="s">
        <v>533</v>
      </c>
      <c r="F9" s="470"/>
      <c r="G9" s="46" t="s">
        <v>534</v>
      </c>
    </row>
    <row r="10" spans="1:7">
      <c r="A10" s="177">
        <v>1987</v>
      </c>
      <c r="B10" s="67"/>
      <c r="C10" s="399">
        <v>5.6000000000000005</v>
      </c>
      <c r="D10" s="44"/>
      <c r="E10" s="44"/>
      <c r="F10" s="44"/>
      <c r="G10" s="30">
        <f t="shared" ref="G10:G41" si="0">G11*(1+C11/100)</f>
        <v>3.3151841166324445</v>
      </c>
    </row>
    <row r="11" spans="1:7">
      <c r="A11" s="252">
        <f t="shared" ref="A11:A43" si="1">A10+1</f>
        <v>1988</v>
      </c>
      <c r="B11" s="67"/>
      <c r="C11" s="399">
        <v>4.3999999999999995</v>
      </c>
      <c r="D11" s="44"/>
      <c r="E11" s="44"/>
      <c r="F11" s="44"/>
      <c r="G11" s="30">
        <f t="shared" si="0"/>
        <v>3.1754637132494676</v>
      </c>
    </row>
    <row r="12" spans="1:7">
      <c r="A12" s="252">
        <f t="shared" si="1"/>
        <v>1989</v>
      </c>
      <c r="B12" s="67"/>
      <c r="C12" s="399">
        <v>4.3</v>
      </c>
      <c r="D12" s="44"/>
      <c r="E12" s="44"/>
      <c r="F12" s="44"/>
      <c r="G12" s="30">
        <f t="shared" si="0"/>
        <v>3.0445481430963257</v>
      </c>
    </row>
    <row r="13" spans="1:7">
      <c r="A13" s="252">
        <f t="shared" si="1"/>
        <v>1990</v>
      </c>
      <c r="B13" s="67"/>
      <c r="C13" s="399">
        <v>5</v>
      </c>
      <c r="D13" s="44"/>
      <c r="E13" s="44"/>
      <c r="F13" s="44"/>
      <c r="G13" s="30">
        <f t="shared" si="0"/>
        <v>2.8995696600917387</v>
      </c>
    </row>
    <row r="14" spans="1:7">
      <c r="A14" s="252">
        <f t="shared" si="1"/>
        <v>1991</v>
      </c>
      <c r="B14" s="67"/>
      <c r="C14" s="399">
        <v>2.2999999999999998</v>
      </c>
      <c r="D14" s="44"/>
      <c r="E14" s="44"/>
      <c r="F14" s="44"/>
      <c r="G14" s="30">
        <f t="shared" si="0"/>
        <v>2.8343789443712013</v>
      </c>
    </row>
    <row r="15" spans="1:7">
      <c r="A15" s="252">
        <f t="shared" si="1"/>
        <v>1992</v>
      </c>
      <c r="B15" s="67"/>
      <c r="C15" s="399">
        <v>4.7</v>
      </c>
      <c r="D15" s="44"/>
      <c r="E15" s="44"/>
      <c r="F15" s="44"/>
      <c r="G15" s="30">
        <f t="shared" si="0"/>
        <v>2.7071432133440321</v>
      </c>
    </row>
    <row r="16" spans="1:7">
      <c r="A16" s="252">
        <f t="shared" si="1"/>
        <v>1993</v>
      </c>
      <c r="B16" s="67"/>
      <c r="C16" s="399">
        <v>1.2</v>
      </c>
      <c r="D16" s="44"/>
      <c r="E16" s="44"/>
      <c r="F16" s="44"/>
      <c r="G16" s="30">
        <f t="shared" si="0"/>
        <v>2.6750427009328379</v>
      </c>
    </row>
    <row r="17" spans="1:7">
      <c r="A17" s="252">
        <f t="shared" si="1"/>
        <v>1994</v>
      </c>
      <c r="B17" s="67"/>
      <c r="C17" s="399">
        <v>1.7999999999999998</v>
      </c>
      <c r="D17" s="44"/>
      <c r="E17" s="44"/>
      <c r="F17" s="44"/>
      <c r="G17" s="30">
        <f t="shared" si="0"/>
        <v>2.6277433211521002</v>
      </c>
    </row>
    <row r="18" spans="1:7">
      <c r="A18" s="252">
        <f t="shared" si="1"/>
        <v>1995</v>
      </c>
      <c r="B18" s="67"/>
      <c r="C18" s="399">
        <v>2.9000000000000004</v>
      </c>
      <c r="D18" s="44"/>
      <c r="E18" s="44"/>
      <c r="F18" s="44"/>
      <c r="G18" s="30">
        <f t="shared" si="0"/>
        <v>2.5536864151138001</v>
      </c>
    </row>
    <row r="19" spans="1:7">
      <c r="A19" s="252">
        <f t="shared" si="1"/>
        <v>1996</v>
      </c>
      <c r="B19" s="67"/>
      <c r="C19" s="399">
        <v>3.4000000000000004</v>
      </c>
      <c r="D19" s="44"/>
      <c r="E19" s="44"/>
      <c r="F19" s="44"/>
      <c r="G19" s="30">
        <f t="shared" si="0"/>
        <v>2.4697160687754351</v>
      </c>
    </row>
    <row r="20" spans="1:7">
      <c r="A20" s="252">
        <f t="shared" si="1"/>
        <v>1997</v>
      </c>
      <c r="B20" s="67"/>
      <c r="C20" s="399">
        <v>4.7</v>
      </c>
      <c r="D20" s="44"/>
      <c r="E20" s="44"/>
      <c r="F20" s="44"/>
      <c r="G20" s="30">
        <f t="shared" si="0"/>
        <v>2.3588501134435869</v>
      </c>
    </row>
    <row r="21" spans="1:7">
      <c r="A21" s="252">
        <f t="shared" si="1"/>
        <v>1998</v>
      </c>
      <c r="B21" s="67"/>
      <c r="C21" s="399">
        <v>5.2</v>
      </c>
      <c r="D21" s="44"/>
      <c r="E21" s="44"/>
      <c r="F21" s="44"/>
      <c r="G21" s="30">
        <f t="shared" si="0"/>
        <v>2.2422529595471357</v>
      </c>
    </row>
    <row r="22" spans="1:7">
      <c r="A22" s="252">
        <f t="shared" si="1"/>
        <v>1999</v>
      </c>
      <c r="B22" s="67"/>
      <c r="C22" s="399">
        <v>6.2</v>
      </c>
      <c r="D22" s="44"/>
      <c r="E22" s="44"/>
      <c r="F22" s="44"/>
      <c r="G22" s="30">
        <f t="shared" si="0"/>
        <v>2.1113493027750807</v>
      </c>
    </row>
    <row r="23" spans="1:7">
      <c r="A23" s="252">
        <f t="shared" si="1"/>
        <v>2000</v>
      </c>
      <c r="B23" s="67"/>
      <c r="C23" s="399">
        <v>9</v>
      </c>
      <c r="D23" s="44"/>
      <c r="E23" s="44"/>
      <c r="F23" s="44"/>
      <c r="G23" s="30">
        <f t="shared" si="0"/>
        <v>1.9370177089679637</v>
      </c>
    </row>
    <row r="24" spans="1:7">
      <c r="A24" s="252">
        <f t="shared" si="1"/>
        <v>2001</v>
      </c>
      <c r="B24" s="67"/>
      <c r="C24" s="399">
        <v>0.6</v>
      </c>
      <c r="D24" s="44"/>
      <c r="E24" s="44"/>
      <c r="F24" s="44"/>
      <c r="G24" s="30">
        <f t="shared" si="0"/>
        <v>1.9254649194512561</v>
      </c>
    </row>
    <row r="25" spans="1:7">
      <c r="A25" s="252">
        <f t="shared" si="1"/>
        <v>2002</v>
      </c>
      <c r="B25" s="67"/>
      <c r="C25" s="399">
        <v>1.0999999999999999</v>
      </c>
      <c r="D25" s="44"/>
      <c r="E25" s="44"/>
      <c r="F25" s="44"/>
      <c r="G25" s="30">
        <f t="shared" si="0"/>
        <v>1.9045152516827462</v>
      </c>
    </row>
    <row r="26" spans="1:7">
      <c r="A26" s="252">
        <f t="shared" si="1"/>
        <v>2003</v>
      </c>
      <c r="B26" s="67"/>
      <c r="C26" s="399">
        <v>3.5999999999999996</v>
      </c>
      <c r="D26" s="44"/>
      <c r="E26" s="44"/>
      <c r="F26" s="44"/>
      <c r="G26" s="30">
        <f t="shared" si="0"/>
        <v>1.8383351850219556</v>
      </c>
    </row>
    <row r="27" spans="1:7">
      <c r="A27" s="252">
        <f t="shared" si="1"/>
        <v>2004</v>
      </c>
      <c r="B27" s="67"/>
      <c r="C27" s="399">
        <v>5</v>
      </c>
      <c r="D27" s="44"/>
      <c r="E27" s="44"/>
      <c r="F27" s="44"/>
      <c r="G27" s="30">
        <f t="shared" si="0"/>
        <v>1.7507954143066242</v>
      </c>
    </row>
    <row r="28" spans="1:7">
      <c r="A28" s="252">
        <f t="shared" si="1"/>
        <v>2005</v>
      </c>
      <c r="B28" s="67"/>
      <c r="C28" s="399">
        <v>3.2</v>
      </c>
      <c r="D28" s="44"/>
      <c r="E28" s="44"/>
      <c r="F28" s="44"/>
      <c r="G28" s="30">
        <f t="shared" si="0"/>
        <v>1.6965071844056436</v>
      </c>
    </row>
    <row r="29" spans="1:7">
      <c r="A29" s="252">
        <f t="shared" si="1"/>
        <v>2006</v>
      </c>
      <c r="B29" s="67"/>
      <c r="C29" s="399">
        <v>4.5999999999999996</v>
      </c>
      <c r="D29" s="44"/>
      <c r="E29" s="44"/>
      <c r="F29" s="44"/>
      <c r="G29" s="30">
        <f t="shared" si="0"/>
        <v>1.6218997938868485</v>
      </c>
    </row>
    <row r="30" spans="1:7">
      <c r="A30" s="252">
        <f t="shared" si="1"/>
        <v>2007</v>
      </c>
      <c r="B30" s="67"/>
      <c r="C30" s="399">
        <v>4.5</v>
      </c>
      <c r="D30" s="44"/>
      <c r="E30" s="44"/>
      <c r="F30" s="44"/>
      <c r="G30" s="30">
        <f t="shared" si="0"/>
        <v>1.5520572190304771</v>
      </c>
    </row>
    <row r="31" spans="1:7">
      <c r="A31" s="252">
        <f t="shared" si="1"/>
        <v>2008</v>
      </c>
      <c r="B31" s="67"/>
      <c r="C31" s="399">
        <v>2.1</v>
      </c>
      <c r="D31" s="44"/>
      <c r="E31" s="44"/>
      <c r="F31" s="44"/>
      <c r="G31" s="30">
        <f t="shared" si="0"/>
        <v>1.5201343966997818</v>
      </c>
    </row>
    <row r="32" spans="1:7">
      <c r="A32" s="252">
        <f t="shared" si="1"/>
        <v>2009</v>
      </c>
      <c r="B32" s="67"/>
      <c r="C32" s="399">
        <v>0.5</v>
      </c>
      <c r="D32" s="44"/>
      <c r="E32" s="44"/>
      <c r="F32" s="44"/>
      <c r="G32" s="30">
        <f t="shared" si="0"/>
        <v>1.512571539004758</v>
      </c>
    </row>
    <row r="33" spans="1:7">
      <c r="A33" s="252">
        <f t="shared" si="1"/>
        <v>2010</v>
      </c>
      <c r="B33" s="67"/>
      <c r="C33" s="399">
        <v>3</v>
      </c>
      <c r="D33" s="44"/>
      <c r="E33" s="44"/>
      <c r="F33" s="44"/>
      <c r="G33" s="30">
        <f t="shared" si="0"/>
        <v>1.4685160572861728</v>
      </c>
    </row>
    <row r="34" spans="1:7">
      <c r="A34" s="252">
        <f t="shared" si="1"/>
        <v>2011</v>
      </c>
      <c r="B34" s="67"/>
      <c r="C34" s="399">
        <v>3</v>
      </c>
      <c r="D34" s="44"/>
      <c r="E34" s="44"/>
      <c r="F34" s="44"/>
      <c r="G34" s="30">
        <f t="shared" si="0"/>
        <v>1.4257437449380319</v>
      </c>
    </row>
    <row r="35" spans="1:7">
      <c r="A35" s="252">
        <f t="shared" si="1"/>
        <v>2012</v>
      </c>
      <c r="B35" s="67"/>
      <c r="C35" s="399">
        <v>4.2</v>
      </c>
      <c r="D35" s="44"/>
      <c r="E35" s="44"/>
      <c r="F35" s="44"/>
      <c r="G35" s="30">
        <f t="shared" si="0"/>
        <v>1.3682761467735431</v>
      </c>
    </row>
    <row r="36" spans="1:7">
      <c r="A36" s="252">
        <f t="shared" si="1"/>
        <v>2013</v>
      </c>
      <c r="B36" s="67"/>
      <c r="C36" s="399">
        <v>0.70000000000000007</v>
      </c>
      <c r="D36" s="44"/>
      <c r="E36" s="44"/>
      <c r="F36" s="44"/>
      <c r="G36" s="30">
        <f t="shared" si="0"/>
        <v>1.3587647932209963</v>
      </c>
    </row>
    <row r="37" spans="1:7">
      <c r="A37" s="252">
        <f t="shared" si="1"/>
        <v>2014</v>
      </c>
      <c r="B37" s="67"/>
      <c r="C37" s="399">
        <v>3.3000000000000003</v>
      </c>
      <c r="D37" s="44"/>
      <c r="E37" s="44"/>
      <c r="F37" s="44"/>
      <c r="G37" s="30">
        <f t="shared" si="0"/>
        <v>1.3153579798847981</v>
      </c>
    </row>
    <row r="38" spans="1:7">
      <c r="A38" s="252">
        <f t="shared" si="1"/>
        <v>2015</v>
      </c>
      <c r="B38" s="67"/>
      <c r="C38" s="399">
        <v>4.5</v>
      </c>
      <c r="D38" s="44"/>
      <c r="E38" s="44"/>
      <c r="F38" s="44"/>
      <c r="G38" s="30">
        <f t="shared" si="0"/>
        <v>1.2587157702246872</v>
      </c>
    </row>
    <row r="39" spans="1:7">
      <c r="A39" s="252">
        <f t="shared" si="1"/>
        <v>2016</v>
      </c>
      <c r="B39" s="67"/>
      <c r="C39" s="399">
        <v>1.9</v>
      </c>
      <c r="D39" s="44"/>
      <c r="E39" s="44"/>
      <c r="F39" s="44"/>
      <c r="G39" s="30">
        <f t="shared" si="0"/>
        <v>1.2352460944305077</v>
      </c>
    </row>
    <row r="40" spans="1:7">
      <c r="A40" s="252">
        <f t="shared" si="1"/>
        <v>2017</v>
      </c>
      <c r="B40" s="325"/>
      <c r="C40" s="399">
        <v>4.3</v>
      </c>
      <c r="D40" s="44"/>
      <c r="E40" s="44"/>
      <c r="F40" s="44"/>
      <c r="G40" s="30">
        <f t="shared" si="0"/>
        <v>1.1843203206428645</v>
      </c>
    </row>
    <row r="41" spans="1:7">
      <c r="A41" s="252">
        <f t="shared" si="1"/>
        <v>2018</v>
      </c>
      <c r="B41" s="325"/>
      <c r="C41" s="399">
        <v>3.6999999999999997</v>
      </c>
      <c r="D41" s="44"/>
      <c r="E41" s="44"/>
      <c r="F41" s="44"/>
      <c r="G41" s="30">
        <f t="shared" si="0"/>
        <v>1.1420639543325599</v>
      </c>
    </row>
    <row r="42" spans="1:7">
      <c r="A42" s="252">
        <f t="shared" si="1"/>
        <v>2019</v>
      </c>
      <c r="B42" s="325"/>
      <c r="C42" s="399">
        <v>4.3999999999999995</v>
      </c>
      <c r="D42" s="44"/>
      <c r="E42" s="44"/>
      <c r="F42" s="44"/>
      <c r="G42" s="386">
        <f>G43*(1+E43/100)</f>
        <v>1.0939309907399999</v>
      </c>
    </row>
    <row r="43" spans="1:7">
      <c r="A43" s="252">
        <f t="shared" si="1"/>
        <v>2020</v>
      </c>
      <c r="B43" s="44"/>
      <c r="C43" s="399">
        <v>9.6</v>
      </c>
      <c r="D43" s="44"/>
      <c r="E43" s="399">
        <v>2.9000000000000004</v>
      </c>
      <c r="F43" s="44"/>
      <c r="G43" s="262">
        <v>1.0631010599999999</v>
      </c>
    </row>
    <row r="44" spans="1:7">
      <c r="A44" s="110"/>
      <c r="B44" s="325"/>
      <c r="C44" s="399"/>
      <c r="D44" s="110"/>
      <c r="E44" s="399"/>
      <c r="F44" s="110"/>
      <c r="G44" s="57"/>
    </row>
    <row r="45" spans="1:7">
      <c r="A45" s="39" t="s">
        <v>357</v>
      </c>
      <c r="B45" s="110"/>
      <c r="C45" s="398"/>
      <c r="D45" s="110"/>
      <c r="E45" s="399"/>
      <c r="F45" s="110"/>
      <c r="G45" s="110"/>
    </row>
    <row r="46" spans="1:7">
      <c r="A46" s="39">
        <f>A43+1</f>
        <v>2021</v>
      </c>
      <c r="B46" s="44"/>
      <c r="C46" s="399">
        <v>0.89999999999999991</v>
      </c>
      <c r="D46" s="110"/>
      <c r="E46" s="399">
        <v>2.8000000000000003</v>
      </c>
      <c r="F46" s="110"/>
      <c r="G46" s="29"/>
    </row>
    <row r="47" spans="1:7">
      <c r="A47" s="39">
        <f>A46+1</f>
        <v>2022</v>
      </c>
      <c r="B47" s="44"/>
      <c r="C47" s="399">
        <v>1.7999999999999998</v>
      </c>
      <c r="D47" s="110"/>
      <c r="E47" s="399">
        <v>2.9000000000000004</v>
      </c>
      <c r="F47" s="110"/>
      <c r="G47" s="29"/>
    </row>
    <row r="48" spans="1:7">
      <c r="A48" s="58" t="s">
        <v>529</v>
      </c>
      <c r="B48" s="44"/>
      <c r="C48" s="399">
        <v>0.46666666666666667</v>
      </c>
      <c r="D48" s="398" t="s">
        <v>535</v>
      </c>
      <c r="E48" s="399">
        <v>0.53</v>
      </c>
      <c r="F48" s="398" t="s">
        <v>536</v>
      </c>
      <c r="G48" s="44"/>
    </row>
    <row r="49" spans="1:7">
      <c r="A49" s="39"/>
      <c r="B49" s="44"/>
      <c r="C49" s="326"/>
      <c r="D49" s="44"/>
      <c r="E49" s="44"/>
      <c r="F49" s="44"/>
      <c r="G49" s="57"/>
    </row>
    <row r="50" spans="1:7" ht="53.15" customHeight="1">
      <c r="A50" s="42" t="s">
        <v>22</v>
      </c>
      <c r="B50" s="514" t="s">
        <v>537</v>
      </c>
      <c r="C50" s="514"/>
      <c r="D50" s="514"/>
      <c r="E50" s="514"/>
      <c r="F50" s="514"/>
      <c r="G50" s="514"/>
    </row>
    <row r="51" spans="1:7" ht="53.15" customHeight="1">
      <c r="A51" s="31" t="s">
        <v>28</v>
      </c>
      <c r="B51" s="536" t="s">
        <v>538</v>
      </c>
      <c r="C51" s="536"/>
      <c r="D51" s="536"/>
      <c r="E51" s="536"/>
      <c r="F51" s="536"/>
      <c r="G51" s="536"/>
    </row>
    <row r="52" spans="1:7">
      <c r="A52" s="495" t="s">
        <v>540</v>
      </c>
      <c r="B52" s="349" t="s">
        <v>539</v>
      </c>
      <c r="C52" s="349"/>
      <c r="D52" s="349"/>
      <c r="E52" s="349"/>
      <c r="F52" s="349"/>
      <c r="G52" s="349"/>
    </row>
  </sheetData>
  <mergeCells count="2">
    <mergeCell ref="B50:G50"/>
    <mergeCell ref="B51:G51"/>
  </mergeCells>
  <pageMargins left="0.5" right="0.5" top="0.75" bottom="0.75" header="0.33" footer="0.33"/>
  <pageSetup scale="94" orientation="portrait" blackAndWhite="1" horizontalDpi="1200" verticalDpi="1200" r:id="rId1"/>
  <headerFooter scaleWithDoc="0">
    <oddHeader>&amp;R&amp;"Arial,Regular"&amp;10Exhibit 5.1</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pageSetUpPr fitToPage="1"/>
  </sheetPr>
  <dimension ref="A1:S60"/>
  <sheetViews>
    <sheetView zoomScaleNormal="100" workbookViewId="0"/>
  </sheetViews>
  <sheetFormatPr defaultColWidth="9.1796875" defaultRowHeight="12.5"/>
  <cols>
    <col min="1" max="1" width="8.453125" style="174" customWidth="1"/>
    <col min="2" max="2" width="4" style="174" customWidth="1"/>
    <col min="3" max="3" width="6" style="174" customWidth="1"/>
    <col min="4" max="6" width="7.1796875" style="174" customWidth="1"/>
    <col min="7" max="7" width="8.1796875" style="174" customWidth="1"/>
    <col min="8" max="8" width="7.1796875" style="174" customWidth="1"/>
    <col min="9" max="9" width="11.7265625" style="174" customWidth="1"/>
    <col min="10" max="10" width="5.7265625" style="174" customWidth="1"/>
    <col min="11" max="11" width="6" style="174" customWidth="1"/>
    <col min="12" max="12" width="6.26953125" style="174" customWidth="1"/>
    <col min="13" max="13" width="9.7265625" style="174" customWidth="1"/>
    <col min="14" max="14" width="5.26953125" style="174" customWidth="1"/>
    <col min="15" max="15" width="8.1796875" style="174" customWidth="1"/>
    <col min="16" max="16" width="7.1796875" style="174" customWidth="1"/>
    <col min="17" max="17" width="6" style="174" customWidth="1"/>
    <col min="18" max="18" width="4.54296875" style="174" customWidth="1"/>
    <col min="19" max="19" width="11.26953125" style="174" bestFit="1" customWidth="1"/>
    <col min="20" max="16384" width="9.1796875" style="174"/>
  </cols>
  <sheetData>
    <row r="1" spans="1:19" ht="16.149999999999999" customHeight="1">
      <c r="A1" s="183" t="s">
        <v>127</v>
      </c>
      <c r="B1" s="183"/>
      <c r="C1" s="183"/>
      <c r="D1" s="183"/>
      <c r="E1" s="183"/>
      <c r="F1" s="183"/>
      <c r="G1" s="183"/>
      <c r="H1" s="183"/>
      <c r="I1" s="183"/>
      <c r="J1" s="183"/>
      <c r="K1" s="183"/>
      <c r="L1" s="183"/>
      <c r="M1" s="183"/>
      <c r="N1" s="183"/>
      <c r="O1" s="183"/>
      <c r="P1" s="183"/>
      <c r="Q1" s="183"/>
      <c r="R1" s="183"/>
      <c r="S1" s="183"/>
    </row>
    <row r="2" spans="1:19" ht="16.149999999999999" customHeight="1">
      <c r="A2" s="177"/>
      <c r="B2" s="177"/>
      <c r="C2" s="177"/>
      <c r="D2" s="177"/>
      <c r="E2" s="177"/>
      <c r="F2" s="177"/>
      <c r="G2" s="177"/>
      <c r="H2" s="177"/>
      <c r="I2" s="177"/>
      <c r="J2" s="177"/>
      <c r="K2" s="177"/>
      <c r="L2" s="177"/>
      <c r="M2" s="177"/>
      <c r="N2" s="177"/>
      <c r="O2" s="177"/>
      <c r="P2" s="177"/>
      <c r="Q2" s="177"/>
      <c r="R2" s="177"/>
      <c r="S2" s="177"/>
    </row>
    <row r="3" spans="1:19" ht="16.149999999999999" customHeight="1">
      <c r="A3" s="177"/>
      <c r="B3" s="177"/>
      <c r="C3" s="27" t="s">
        <v>45</v>
      </c>
      <c r="D3" s="177"/>
      <c r="E3" s="40" t="s">
        <v>128</v>
      </c>
      <c r="F3" s="177"/>
      <c r="G3" s="40" t="s">
        <v>129</v>
      </c>
      <c r="H3" s="177"/>
      <c r="I3" s="40" t="s">
        <v>130</v>
      </c>
      <c r="J3" s="177"/>
      <c r="K3" s="27" t="s">
        <v>47</v>
      </c>
      <c r="L3" s="177"/>
      <c r="M3" s="27" t="s">
        <v>48</v>
      </c>
      <c r="N3" s="177"/>
      <c r="O3" s="27" t="s">
        <v>50</v>
      </c>
      <c r="P3" s="177"/>
      <c r="Q3" s="40" t="s">
        <v>51</v>
      </c>
      <c r="R3" s="177"/>
      <c r="S3" s="27" t="s">
        <v>131</v>
      </c>
    </row>
    <row r="4" spans="1:19" ht="16.149999999999999" customHeight="1">
      <c r="A4" s="177"/>
      <c r="B4" s="177"/>
      <c r="C4" s="177"/>
      <c r="D4" s="177"/>
      <c r="F4" s="177"/>
      <c r="G4" s="177"/>
      <c r="H4" s="177"/>
      <c r="I4" s="39" t="s">
        <v>83</v>
      </c>
      <c r="J4" s="177"/>
      <c r="K4" s="177"/>
      <c r="L4" s="177"/>
      <c r="M4" s="177"/>
      <c r="N4" s="177"/>
      <c r="O4" s="177"/>
      <c r="P4" s="177"/>
      <c r="Q4" s="177"/>
      <c r="R4" s="177"/>
      <c r="S4" s="31"/>
    </row>
    <row r="5" spans="1:19" ht="16.149999999999999" customHeight="1">
      <c r="A5" s="177"/>
      <c r="B5" s="177"/>
      <c r="C5" s="177"/>
      <c r="D5" s="177"/>
      <c r="E5" s="39" t="s">
        <v>132</v>
      </c>
      <c r="F5" s="177"/>
      <c r="G5" s="39" t="s">
        <v>133</v>
      </c>
      <c r="H5" s="177"/>
      <c r="I5" s="39" t="s">
        <v>134</v>
      </c>
      <c r="J5" s="177"/>
      <c r="K5" s="177"/>
      <c r="L5" s="177"/>
      <c r="M5" s="177"/>
      <c r="N5" s="177"/>
      <c r="O5" s="177" t="s">
        <v>135</v>
      </c>
      <c r="P5" s="177"/>
      <c r="Q5" s="177"/>
      <c r="R5" s="177"/>
      <c r="S5" s="177"/>
    </row>
    <row r="6" spans="1:19" ht="16.149999999999999" customHeight="1">
      <c r="A6" s="177"/>
      <c r="B6" s="177"/>
      <c r="C6" s="177"/>
      <c r="D6" s="177"/>
      <c r="E6" s="39" t="s">
        <v>136</v>
      </c>
      <c r="F6" s="177"/>
      <c r="G6" s="58" t="s">
        <v>137</v>
      </c>
      <c r="H6" s="177"/>
      <c r="I6" s="39" t="s">
        <v>138</v>
      </c>
      <c r="J6" s="177"/>
      <c r="K6" s="177"/>
      <c r="L6" s="177"/>
      <c r="M6" s="177"/>
      <c r="N6" s="177"/>
      <c r="O6" s="177" t="s">
        <v>139</v>
      </c>
      <c r="P6" s="27"/>
      <c r="Q6" s="39" t="s">
        <v>83</v>
      </c>
      <c r="R6" s="177"/>
      <c r="S6" s="177"/>
    </row>
    <row r="7" spans="1:19" ht="16.149999999999999" customHeight="1">
      <c r="A7" s="177"/>
      <c r="B7" s="177"/>
      <c r="C7" s="177"/>
      <c r="D7" s="177"/>
      <c r="E7" s="177" t="s">
        <v>140</v>
      </c>
      <c r="F7" s="177"/>
      <c r="G7" s="39" t="s">
        <v>141</v>
      </c>
      <c r="H7" s="177"/>
      <c r="I7" s="39" t="s">
        <v>141</v>
      </c>
      <c r="J7" s="177"/>
      <c r="K7" s="177" t="s">
        <v>142</v>
      </c>
      <c r="L7" s="177"/>
      <c r="M7" s="177"/>
      <c r="N7" s="177"/>
      <c r="O7" s="177" t="s">
        <v>143</v>
      </c>
      <c r="P7" s="177"/>
      <c r="Q7" s="39" t="s">
        <v>144</v>
      </c>
      <c r="R7" s="177"/>
      <c r="S7" s="177" t="s">
        <v>64</v>
      </c>
    </row>
    <row r="8" spans="1:19" ht="16.149999999999999" customHeight="1">
      <c r="A8" s="177"/>
      <c r="B8" s="177"/>
      <c r="C8" s="177" t="s">
        <v>82</v>
      </c>
      <c r="D8" s="177"/>
      <c r="E8" s="177" t="s">
        <v>145</v>
      </c>
      <c r="F8" s="177"/>
      <c r="G8" s="39" t="s">
        <v>146</v>
      </c>
      <c r="H8" s="177"/>
      <c r="I8" s="39" t="s">
        <v>147</v>
      </c>
      <c r="J8" s="177"/>
      <c r="K8" s="177" t="s">
        <v>148</v>
      </c>
      <c r="L8" s="177"/>
      <c r="M8" s="177" t="s">
        <v>149</v>
      </c>
      <c r="N8" s="177"/>
      <c r="O8" s="403" t="s">
        <v>547</v>
      </c>
      <c r="P8" s="177"/>
      <c r="Q8" s="39" t="s">
        <v>150</v>
      </c>
      <c r="R8" s="177"/>
      <c r="S8" s="177" t="s">
        <v>9</v>
      </c>
    </row>
    <row r="9" spans="1:19" ht="16.149999999999999" customHeight="1">
      <c r="A9" s="177" t="s">
        <v>151</v>
      </c>
      <c r="B9" s="177"/>
      <c r="C9" s="163" t="str">
        <f>'Exhibit 4.4'!A45</f>
        <v>9/1/2022</v>
      </c>
      <c r="D9" s="177"/>
      <c r="E9" s="39" t="s">
        <v>146</v>
      </c>
      <c r="F9" s="177"/>
      <c r="G9" s="177" t="s">
        <v>152</v>
      </c>
      <c r="H9" s="177"/>
      <c r="I9" s="39" t="s">
        <v>152</v>
      </c>
      <c r="J9" s="177"/>
      <c r="K9" s="177" t="s">
        <v>153</v>
      </c>
      <c r="L9" s="177"/>
      <c r="M9" s="177" t="s">
        <v>154</v>
      </c>
      <c r="N9" s="177"/>
      <c r="O9" s="177" t="s">
        <v>146</v>
      </c>
      <c r="P9" s="177"/>
      <c r="Q9" s="39" t="s">
        <v>155</v>
      </c>
      <c r="R9" s="177"/>
      <c r="S9" s="177" t="s">
        <v>142</v>
      </c>
    </row>
    <row r="10" spans="1:19" ht="16.149999999999999" customHeight="1">
      <c r="A10" s="26" t="s">
        <v>8</v>
      </c>
      <c r="B10" s="26"/>
      <c r="C10" s="26" t="s">
        <v>156</v>
      </c>
      <c r="D10" s="26"/>
      <c r="E10" s="41" t="s">
        <v>157</v>
      </c>
      <c r="F10" s="26"/>
      <c r="G10" s="41" t="s">
        <v>545</v>
      </c>
      <c r="H10" s="26"/>
      <c r="I10" s="41" t="s">
        <v>546</v>
      </c>
      <c r="J10" s="26"/>
      <c r="K10" s="26" t="s">
        <v>158</v>
      </c>
      <c r="L10" s="26"/>
      <c r="M10" s="26" t="s">
        <v>159</v>
      </c>
      <c r="N10" s="26"/>
      <c r="O10" s="70" t="s">
        <v>160</v>
      </c>
      <c r="P10" s="26"/>
      <c r="Q10" s="41" t="s">
        <v>161</v>
      </c>
      <c r="R10" s="26"/>
      <c r="S10" s="26" t="s">
        <v>162</v>
      </c>
    </row>
    <row r="11" spans="1:19" ht="16.149999999999999" customHeight="1">
      <c r="A11" s="177">
        <f>+'Exhibit 4.1'!B9</f>
        <v>1987</v>
      </c>
      <c r="B11" s="30"/>
      <c r="C11" s="30">
        <f>SUMIFS('Exhibit 5.1'!G:G,'Exhibit 5.1'!A:A,$A11)</f>
        <v>3.3151841166324445</v>
      </c>
      <c r="D11" s="30"/>
      <c r="E11" s="30" t="s">
        <v>32</v>
      </c>
      <c r="F11" s="30"/>
      <c r="G11" s="30" t="s">
        <v>32</v>
      </c>
      <c r="H11" s="30"/>
      <c r="I11" s="400">
        <v>0.58856000634415162</v>
      </c>
      <c r="J11" s="30"/>
      <c r="K11" s="400">
        <v>0.99199999999999999</v>
      </c>
      <c r="L11" s="400"/>
      <c r="M11" s="400">
        <v>0.98299999999999998</v>
      </c>
      <c r="N11" s="30"/>
      <c r="O11" s="400">
        <v>1.0189999999999999</v>
      </c>
      <c r="P11" s="30"/>
      <c r="Q11" s="30" t="s">
        <v>32</v>
      </c>
      <c r="R11" s="30"/>
      <c r="S11" s="30">
        <f t="shared" ref="S11:S38" si="0">(C11*I11*K11)/(M11*O11)</f>
        <v>1.9323347810117277</v>
      </c>
    </row>
    <row r="12" spans="1:19" ht="16.149999999999999" customHeight="1">
      <c r="A12" s="177">
        <f>+'Exhibit 4.1'!B10</f>
        <v>1988</v>
      </c>
      <c r="B12" s="30"/>
      <c r="C12" s="30">
        <f>SUMIFS('Exhibit 5.1'!G:G,'Exhibit 5.1'!A:A,$A12)</f>
        <v>3.1754637132494676</v>
      </c>
      <c r="D12" s="30"/>
      <c r="E12" s="30" t="s">
        <v>32</v>
      </c>
      <c r="F12" s="30"/>
      <c r="G12" s="30" t="s">
        <v>32</v>
      </c>
      <c r="H12" s="30"/>
      <c r="I12" s="400">
        <v>0.52696092146103524</v>
      </c>
      <c r="J12" s="30"/>
      <c r="K12" s="400">
        <v>0.99299999999999999</v>
      </c>
      <c r="L12" s="400"/>
      <c r="M12" s="400">
        <v>0.96299999999999997</v>
      </c>
      <c r="N12" s="30"/>
      <c r="O12" s="30">
        <f t="shared" ref="O12:O44" si="1">$O$11</f>
        <v>1.0189999999999999</v>
      </c>
      <c r="P12" s="30"/>
      <c r="Q12" s="30" t="s">
        <v>32</v>
      </c>
      <c r="R12" s="30"/>
      <c r="S12" s="30">
        <f t="shared" si="0"/>
        <v>1.6933016888966541</v>
      </c>
    </row>
    <row r="13" spans="1:19" ht="16.149999999999999" customHeight="1">
      <c r="A13" s="177">
        <f>+'Exhibit 4.1'!B11</f>
        <v>1989</v>
      </c>
      <c r="B13" s="30"/>
      <c r="C13" s="30">
        <f>SUMIFS('Exhibit 5.1'!G:G,'Exhibit 5.1'!A:A,$A13)</f>
        <v>3.0445481430963257</v>
      </c>
      <c r="D13" s="30"/>
      <c r="E13" s="30" t="s">
        <v>32</v>
      </c>
      <c r="F13" s="30"/>
      <c r="G13" s="30" t="s">
        <v>32</v>
      </c>
      <c r="H13" s="30"/>
      <c r="I13" s="400">
        <v>0.51877979299999633</v>
      </c>
      <c r="J13" s="30"/>
      <c r="K13" s="400">
        <v>0.99299999999999999</v>
      </c>
      <c r="L13" s="400"/>
      <c r="M13" s="400">
        <v>0.94499999999999995</v>
      </c>
      <c r="N13" s="30"/>
      <c r="O13" s="30">
        <f t="shared" si="1"/>
        <v>1.0189999999999999</v>
      </c>
      <c r="P13" s="30"/>
      <c r="Q13" s="30" t="s">
        <v>32</v>
      </c>
      <c r="R13" s="30"/>
      <c r="S13" s="30">
        <f t="shared" si="0"/>
        <v>1.6287302159144059</v>
      </c>
    </row>
    <row r="14" spans="1:19" ht="16.149999999999999" customHeight="1">
      <c r="A14" s="177">
        <f>+'Exhibit 4.1'!B12</f>
        <v>1990</v>
      </c>
      <c r="B14" s="30"/>
      <c r="C14" s="30">
        <f>SUMIFS('Exhibit 5.1'!G:G,'Exhibit 5.1'!A:A,$A14)</f>
        <v>2.8995696600917387</v>
      </c>
      <c r="D14" s="30"/>
      <c r="E14" s="30" t="s">
        <v>32</v>
      </c>
      <c r="F14" s="30"/>
      <c r="G14" s="30" t="s">
        <v>32</v>
      </c>
      <c r="H14" s="30"/>
      <c r="I14" s="400">
        <v>0.50578623603246387</v>
      </c>
      <c r="J14" s="30"/>
      <c r="K14" s="400">
        <v>0.99099999999999999</v>
      </c>
      <c r="L14" s="400"/>
      <c r="M14" s="400">
        <v>0.94199999999999995</v>
      </c>
      <c r="N14" s="30"/>
      <c r="O14" s="30">
        <f t="shared" si="1"/>
        <v>1.0189999999999999</v>
      </c>
      <c r="P14" s="30"/>
      <c r="Q14" s="30" t="s">
        <v>32</v>
      </c>
      <c r="R14" s="30"/>
      <c r="S14" s="30">
        <f t="shared" si="0"/>
        <v>1.5140810405598364</v>
      </c>
    </row>
    <row r="15" spans="1:19" ht="16.149999999999999" customHeight="1">
      <c r="A15" s="177">
        <f>+'Exhibit 4.1'!B13</f>
        <v>1991</v>
      </c>
      <c r="B15" s="30"/>
      <c r="C15" s="30">
        <f>SUMIFS('Exhibit 5.1'!G:G,'Exhibit 5.1'!A:A,$A15)</f>
        <v>2.8343789443712013</v>
      </c>
      <c r="D15" s="30"/>
      <c r="E15" s="30" t="s">
        <v>32</v>
      </c>
      <c r="F15" s="30"/>
      <c r="G15" s="30" t="s">
        <v>32</v>
      </c>
      <c r="H15" s="30"/>
      <c r="I15" s="400">
        <v>0.46873053653246416</v>
      </c>
      <c r="J15" s="30"/>
      <c r="K15" s="400">
        <v>0.98699999999999999</v>
      </c>
      <c r="L15" s="400"/>
      <c r="M15" s="400">
        <v>0.93899999999999995</v>
      </c>
      <c r="N15" s="30"/>
      <c r="O15" s="30">
        <f t="shared" si="1"/>
        <v>1.0189999999999999</v>
      </c>
      <c r="P15" s="30"/>
      <c r="Q15" s="30" t="s">
        <v>32</v>
      </c>
      <c r="R15" s="30"/>
      <c r="S15" s="30">
        <f t="shared" si="0"/>
        <v>1.3704353009623589</v>
      </c>
    </row>
    <row r="16" spans="1:19" ht="16.149999999999999" customHeight="1">
      <c r="A16" s="177">
        <f>+'Exhibit 4.1'!B14</f>
        <v>1992</v>
      </c>
      <c r="B16" s="30"/>
      <c r="C16" s="30">
        <f>SUMIFS('Exhibit 5.1'!G:G,'Exhibit 5.1'!A:A,$A16)</f>
        <v>2.7071432133440321</v>
      </c>
      <c r="D16" s="30"/>
      <c r="E16" s="30" t="s">
        <v>32</v>
      </c>
      <c r="F16" s="30"/>
      <c r="G16" s="30" t="s">
        <v>32</v>
      </c>
      <c r="H16" s="30"/>
      <c r="I16" s="400">
        <v>0.44899957965584092</v>
      </c>
      <c r="J16" s="30"/>
      <c r="K16" s="400">
        <v>0.98199999999999998</v>
      </c>
      <c r="L16" s="400"/>
      <c r="M16" s="400">
        <v>0.94</v>
      </c>
      <c r="N16" s="30"/>
      <c r="O16" s="30">
        <f t="shared" si="1"/>
        <v>1.0189999999999999</v>
      </c>
      <c r="P16" s="30"/>
      <c r="Q16" s="30" t="s">
        <v>32</v>
      </c>
      <c r="R16" s="30"/>
      <c r="S16" s="30">
        <f t="shared" si="0"/>
        <v>1.2461393668095124</v>
      </c>
    </row>
    <row r="17" spans="1:19" ht="16.149999999999999" customHeight="1">
      <c r="A17" s="177">
        <f>+'Exhibit 4.1'!B15</f>
        <v>1993</v>
      </c>
      <c r="B17" s="30"/>
      <c r="C17" s="30">
        <f>SUMIFS('Exhibit 5.1'!G:G,'Exhibit 5.1'!A:A,$A17)</f>
        <v>2.6750427009328379</v>
      </c>
      <c r="D17" s="30"/>
      <c r="E17" s="30" t="s">
        <v>32</v>
      </c>
      <c r="F17" s="30"/>
      <c r="G17" s="30" t="s">
        <v>32</v>
      </c>
      <c r="H17" s="30"/>
      <c r="I17" s="400">
        <v>0.44418715114934743</v>
      </c>
      <c r="J17" s="30"/>
      <c r="K17" s="400">
        <v>0.98099999999999998</v>
      </c>
      <c r="L17" s="400"/>
      <c r="M17" s="400">
        <v>0.94899999999999995</v>
      </c>
      <c r="N17" s="30"/>
      <c r="O17" s="30">
        <f t="shared" si="1"/>
        <v>1.0189999999999999</v>
      </c>
      <c r="P17" s="30"/>
      <c r="Q17" s="30" t="s">
        <v>32</v>
      </c>
      <c r="R17" s="30"/>
      <c r="S17" s="30">
        <f t="shared" si="0"/>
        <v>1.2053837200628927</v>
      </c>
    </row>
    <row r="18" spans="1:19" ht="16.149999999999999" customHeight="1">
      <c r="A18" s="177">
        <f>+'Exhibit 4.1'!B16</f>
        <v>1994</v>
      </c>
      <c r="B18" s="30"/>
      <c r="C18" s="30">
        <f>SUMIFS('Exhibit 5.1'!G:G,'Exhibit 5.1'!A:A,$A18)</f>
        <v>2.6277433211521002</v>
      </c>
      <c r="D18" s="30"/>
      <c r="E18" s="30" t="s">
        <v>32</v>
      </c>
      <c r="F18" s="30"/>
      <c r="G18" s="30" t="s">
        <v>32</v>
      </c>
      <c r="H18" s="30"/>
      <c r="I18" s="400">
        <v>0.50819245028571058</v>
      </c>
      <c r="J18" s="30"/>
      <c r="K18" s="400">
        <v>0.98599999999999999</v>
      </c>
      <c r="L18" s="400"/>
      <c r="M18" s="400">
        <v>0.94799999999999995</v>
      </c>
      <c r="N18" s="30"/>
      <c r="O18" s="30">
        <f t="shared" si="1"/>
        <v>1.0189999999999999</v>
      </c>
      <c r="P18" s="30"/>
      <c r="Q18" s="30" t="s">
        <v>32</v>
      </c>
      <c r="R18" s="30"/>
      <c r="S18" s="30">
        <f t="shared" si="0"/>
        <v>1.3630304040310286</v>
      </c>
    </row>
    <row r="19" spans="1:19" ht="16.149999999999999" customHeight="1">
      <c r="A19" s="177">
        <f>+'Exhibit 4.1'!B17</f>
        <v>1995</v>
      </c>
      <c r="B19" s="30"/>
      <c r="C19" s="30">
        <f>SUMIFS('Exhibit 5.1'!G:G,'Exhibit 5.1'!A:A,$A19)</f>
        <v>2.5536864151138001</v>
      </c>
      <c r="D19" s="30"/>
      <c r="E19" s="30" t="s">
        <v>32</v>
      </c>
      <c r="F19" s="30"/>
      <c r="G19" s="30" t="s">
        <v>32</v>
      </c>
      <c r="H19" s="30"/>
      <c r="I19" s="400">
        <v>0.68773549549167035</v>
      </c>
      <c r="J19" s="30"/>
      <c r="K19" s="400">
        <v>0.995</v>
      </c>
      <c r="L19" s="400"/>
      <c r="M19" s="400">
        <v>0.95799999999999996</v>
      </c>
      <c r="N19" s="30"/>
      <c r="O19" s="30">
        <f t="shared" si="1"/>
        <v>1.0189999999999999</v>
      </c>
      <c r="P19" s="30"/>
      <c r="Q19" s="30" t="s">
        <v>32</v>
      </c>
      <c r="R19" s="30"/>
      <c r="S19" s="30">
        <f t="shared" si="0"/>
        <v>1.7900798073231703</v>
      </c>
    </row>
    <row r="20" spans="1:19" ht="16.149999999999999" customHeight="1">
      <c r="A20" s="177">
        <f>+'Exhibit 4.1'!B18</f>
        <v>1996</v>
      </c>
      <c r="B20" s="30"/>
      <c r="C20" s="30">
        <f>SUMIFS('Exhibit 5.1'!G:G,'Exhibit 5.1'!A:A,$A20)</f>
        <v>2.4697160687754351</v>
      </c>
      <c r="D20" s="30"/>
      <c r="E20" s="400">
        <v>1.0229999999999999</v>
      </c>
      <c r="F20" s="400"/>
      <c r="G20" s="400">
        <v>0.73066238274814777</v>
      </c>
      <c r="H20" s="30"/>
      <c r="I20" s="30">
        <f>G20/E20</f>
        <v>0.71423497824843385</v>
      </c>
      <c r="J20" s="30"/>
      <c r="K20" s="400">
        <v>1</v>
      </c>
      <c r="L20" s="400"/>
      <c r="M20" s="400">
        <v>0.93500000000000005</v>
      </c>
      <c r="N20" s="30"/>
      <c r="O20" s="30">
        <f t="shared" si="1"/>
        <v>1.0189999999999999</v>
      </c>
      <c r="P20" s="30"/>
      <c r="Q20" s="30" t="s">
        <v>32</v>
      </c>
      <c r="R20" s="30"/>
      <c r="S20" s="30">
        <f t="shared" si="0"/>
        <v>1.851408902154918</v>
      </c>
    </row>
    <row r="21" spans="1:19" ht="16.149999999999999" customHeight="1">
      <c r="A21" s="177">
        <f>+'Exhibit 4.1'!B19</f>
        <v>1997</v>
      </c>
      <c r="B21" s="30"/>
      <c r="C21" s="30">
        <f>SUMIFS('Exhibit 5.1'!G:G,'Exhibit 5.1'!A:A,$A21)</f>
        <v>2.3588501134435869</v>
      </c>
      <c r="D21" s="30"/>
      <c r="E21" s="400">
        <v>0.98899999999999999</v>
      </c>
      <c r="F21" s="400"/>
      <c r="G21" s="400">
        <v>0.72894829122565086</v>
      </c>
      <c r="H21" s="30"/>
      <c r="I21" s="30">
        <f t="shared" ref="I21:I41" si="2">G21/E21</f>
        <v>0.73705590619378247</v>
      </c>
      <c r="J21" s="30"/>
      <c r="K21" s="400">
        <v>1</v>
      </c>
      <c r="L21" s="400"/>
      <c r="M21" s="400">
        <v>0.94899999999999995</v>
      </c>
      <c r="N21" s="30"/>
      <c r="O21" s="30">
        <f t="shared" si="1"/>
        <v>1.0189999999999999</v>
      </c>
      <c r="P21" s="30"/>
      <c r="Q21" s="30" t="s">
        <v>32</v>
      </c>
      <c r="R21" s="30"/>
      <c r="S21" s="30">
        <f t="shared" si="0"/>
        <v>1.7978786698042459</v>
      </c>
    </row>
    <row r="22" spans="1:19" ht="16.149999999999999" customHeight="1">
      <c r="A22" s="177">
        <f>+'Exhibit 4.1'!B20</f>
        <v>1998</v>
      </c>
      <c r="B22" s="30"/>
      <c r="C22" s="30">
        <f>SUMIFS('Exhibit 5.1'!G:G,'Exhibit 5.1'!A:A,$A22)</f>
        <v>2.2422529595471357</v>
      </c>
      <c r="D22" s="30"/>
      <c r="E22" s="400">
        <v>0.96499999999999997</v>
      </c>
      <c r="F22" s="400"/>
      <c r="G22" s="400">
        <v>0.75929434221709835</v>
      </c>
      <c r="H22" s="30"/>
      <c r="I22" s="30">
        <f t="shared" si="2"/>
        <v>0.78683351525087919</v>
      </c>
      <c r="J22" s="30"/>
      <c r="K22" s="400">
        <v>1</v>
      </c>
      <c r="L22" s="400"/>
      <c r="M22" s="400">
        <v>0.95899999999999996</v>
      </c>
      <c r="N22" s="30"/>
      <c r="O22" s="30">
        <f t="shared" si="1"/>
        <v>1.0189999999999999</v>
      </c>
      <c r="P22" s="30"/>
      <c r="Q22" s="30" t="s">
        <v>32</v>
      </c>
      <c r="R22" s="30"/>
      <c r="S22" s="30">
        <f t="shared" si="0"/>
        <v>1.8054051010387213</v>
      </c>
    </row>
    <row r="23" spans="1:19" ht="16.149999999999999" customHeight="1">
      <c r="A23" s="177">
        <f>+'Exhibit 4.1'!B21</f>
        <v>1999</v>
      </c>
      <c r="B23" s="30"/>
      <c r="C23" s="30">
        <f>SUMIFS('Exhibit 5.1'!G:G,'Exhibit 5.1'!A:A,$A23)</f>
        <v>2.1113493027750807</v>
      </c>
      <c r="D23" s="30"/>
      <c r="E23" s="400">
        <v>0.97199999999999998</v>
      </c>
      <c r="F23" s="400"/>
      <c r="G23" s="400">
        <v>0.76743958008511615</v>
      </c>
      <c r="H23" s="30"/>
      <c r="I23" s="30">
        <f t="shared" si="2"/>
        <v>0.78954689309168324</v>
      </c>
      <c r="J23" s="30"/>
      <c r="K23" s="400">
        <v>1</v>
      </c>
      <c r="L23" s="400"/>
      <c r="M23" s="400">
        <v>0.95399999999999996</v>
      </c>
      <c r="N23" s="30"/>
      <c r="O23" s="30">
        <f t="shared" si="1"/>
        <v>1.0189999999999999</v>
      </c>
      <c r="P23" s="30"/>
      <c r="Q23" s="30" t="s">
        <v>32</v>
      </c>
      <c r="R23" s="30"/>
      <c r="S23" s="30">
        <f t="shared" si="0"/>
        <v>1.7148078358539498</v>
      </c>
    </row>
    <row r="24" spans="1:19" ht="16.149999999999999" customHeight="1">
      <c r="A24" s="177">
        <f>+'Exhibit 4.1'!B22</f>
        <v>2000</v>
      </c>
      <c r="B24" s="30"/>
      <c r="C24" s="30">
        <f>SUMIFS('Exhibit 5.1'!G:G,'Exhibit 5.1'!A:A,$A24)</f>
        <v>1.9370177089679637</v>
      </c>
      <c r="D24" s="30"/>
      <c r="E24" s="400">
        <v>1.0049999999999999</v>
      </c>
      <c r="F24" s="400"/>
      <c r="G24" s="400">
        <v>0.69589536166637767</v>
      </c>
      <c r="H24" s="30"/>
      <c r="I24" s="30">
        <f t="shared" si="2"/>
        <v>0.69243319568793804</v>
      </c>
      <c r="J24" s="30"/>
      <c r="K24" s="400">
        <v>1</v>
      </c>
      <c r="L24" s="400"/>
      <c r="M24" s="400">
        <v>0.97</v>
      </c>
      <c r="N24" s="30"/>
      <c r="O24" s="30">
        <f t="shared" si="1"/>
        <v>1.0189999999999999</v>
      </c>
      <c r="P24" s="30"/>
      <c r="Q24" s="30" t="s">
        <v>32</v>
      </c>
      <c r="R24" s="30"/>
      <c r="S24" s="30">
        <f t="shared" si="0"/>
        <v>1.3569553355572124</v>
      </c>
    </row>
    <row r="25" spans="1:19" ht="16.149999999999999" customHeight="1">
      <c r="A25" s="177">
        <f>+'Exhibit 4.1'!B23</f>
        <v>2001</v>
      </c>
      <c r="B25" s="71"/>
      <c r="C25" s="30">
        <f>SUMIFS('Exhibit 5.1'!G:G,'Exhibit 5.1'!A:A,$A25)</f>
        <v>1.9254649194512561</v>
      </c>
      <c r="D25" s="30"/>
      <c r="E25" s="400">
        <v>1.03</v>
      </c>
      <c r="F25" s="400"/>
      <c r="G25" s="400">
        <v>0.61284681063942992</v>
      </c>
      <c r="H25" s="30"/>
      <c r="I25" s="30">
        <f t="shared" si="2"/>
        <v>0.59499690353342705</v>
      </c>
      <c r="J25" s="30"/>
      <c r="K25" s="400">
        <v>1</v>
      </c>
      <c r="L25" s="400"/>
      <c r="M25" s="400">
        <v>0.96899999999999997</v>
      </c>
      <c r="N25" s="30"/>
      <c r="O25" s="30">
        <f t="shared" si="1"/>
        <v>1.0189999999999999</v>
      </c>
      <c r="P25" s="30"/>
      <c r="Q25" s="30" t="s">
        <v>32</v>
      </c>
      <c r="R25" s="30"/>
      <c r="S25" s="30">
        <f t="shared" si="0"/>
        <v>1.1602520783500863</v>
      </c>
    </row>
    <row r="26" spans="1:19" ht="16.149999999999999" customHeight="1">
      <c r="A26" s="177">
        <f>+'Exhibit 4.1'!B24</f>
        <v>2002</v>
      </c>
      <c r="B26" s="71"/>
      <c r="C26" s="30">
        <f>SUMIFS('Exhibit 5.1'!G:G,'Exhibit 5.1'!A:A,$A26)</f>
        <v>1.9045152516827462</v>
      </c>
      <c r="D26" s="30"/>
      <c r="E26" s="400">
        <v>1.157</v>
      </c>
      <c r="F26" s="400"/>
      <c r="G26" s="400">
        <v>0.54850216791493822</v>
      </c>
      <c r="H26" s="30"/>
      <c r="I26" s="30">
        <f t="shared" si="2"/>
        <v>0.47407274668533983</v>
      </c>
      <c r="J26" s="30"/>
      <c r="K26" s="400">
        <v>1</v>
      </c>
      <c r="L26" s="400"/>
      <c r="M26" s="400">
        <v>0.99099999999999999</v>
      </c>
      <c r="N26" s="30"/>
      <c r="O26" s="30">
        <f t="shared" si="1"/>
        <v>1.0189999999999999</v>
      </c>
      <c r="P26" s="30"/>
      <c r="Q26" s="30" t="s">
        <v>32</v>
      </c>
      <c r="R26" s="30"/>
      <c r="S26" s="30">
        <f t="shared" si="0"/>
        <v>0.89409075840499819</v>
      </c>
    </row>
    <row r="27" spans="1:19" ht="16.149999999999999" customHeight="1">
      <c r="A27" s="177">
        <f>+'Exhibit 4.1'!B25</f>
        <v>2003</v>
      </c>
      <c r="B27" s="71"/>
      <c r="C27" s="30">
        <f>SUMIFS('Exhibit 5.1'!G:G,'Exhibit 5.1'!A:A,$A27)</f>
        <v>1.8383351850219556</v>
      </c>
      <c r="D27" s="30"/>
      <c r="E27" s="400">
        <v>1.266</v>
      </c>
      <c r="F27" s="400"/>
      <c r="G27" s="400">
        <v>0.44896367438670637</v>
      </c>
      <c r="H27" s="30"/>
      <c r="I27" s="30">
        <f t="shared" si="2"/>
        <v>0.35463165433389127</v>
      </c>
      <c r="J27" s="30"/>
      <c r="K27" s="400">
        <v>1</v>
      </c>
      <c r="L27" s="400"/>
      <c r="M27" s="400">
        <v>1.0049999999999999</v>
      </c>
      <c r="N27" s="30"/>
      <c r="O27" s="30">
        <f t="shared" si="1"/>
        <v>1.0189999999999999</v>
      </c>
      <c r="P27" s="30"/>
      <c r="Q27" s="30" t="s">
        <v>32</v>
      </c>
      <c r="R27" s="30"/>
      <c r="S27" s="30">
        <f t="shared" si="0"/>
        <v>0.63659313626620218</v>
      </c>
    </row>
    <row r="28" spans="1:19" ht="16.149999999999999" customHeight="1">
      <c r="A28" s="177">
        <f>+'Exhibit 4.1'!B26</f>
        <v>2004</v>
      </c>
      <c r="B28" s="71"/>
      <c r="C28" s="30">
        <f>SUMIFS('Exhibit 5.1'!G:G,'Exhibit 5.1'!A:A,$A28)</f>
        <v>1.7507954143066242</v>
      </c>
      <c r="D28" s="30"/>
      <c r="E28" s="400">
        <v>1.397</v>
      </c>
      <c r="F28" s="400"/>
      <c r="G28" s="400">
        <v>0.45663384015036534</v>
      </c>
      <c r="H28" s="30"/>
      <c r="I28" s="30">
        <f t="shared" si="2"/>
        <v>0.32686745894800667</v>
      </c>
      <c r="J28" s="30"/>
      <c r="K28" s="400">
        <v>1</v>
      </c>
      <c r="L28" s="400"/>
      <c r="M28" s="400">
        <v>0.98099999999999998</v>
      </c>
      <c r="N28" s="30"/>
      <c r="O28" s="30">
        <f t="shared" si="1"/>
        <v>1.0189999999999999</v>
      </c>
      <c r="P28" s="30"/>
      <c r="Q28" s="30" t="s">
        <v>32</v>
      </c>
      <c r="R28" s="30"/>
      <c r="S28" s="30">
        <f t="shared" si="0"/>
        <v>0.57248471519441402</v>
      </c>
    </row>
    <row r="29" spans="1:19" ht="16.149999999999999" customHeight="1">
      <c r="A29" s="177">
        <f>+'Exhibit 4.1'!B27</f>
        <v>2005</v>
      </c>
      <c r="B29" s="71"/>
      <c r="C29" s="30">
        <f>SUMIFS('Exhibit 5.1'!G:G,'Exhibit 5.1'!A:A,$A29)</f>
        <v>1.6965071844056436</v>
      </c>
      <c r="D29" s="30"/>
      <c r="E29" s="400">
        <v>1.4700402845926159</v>
      </c>
      <c r="F29" s="400"/>
      <c r="G29" s="400">
        <v>0.54943161100231175</v>
      </c>
      <c r="H29" s="30"/>
      <c r="I29" s="30">
        <f t="shared" si="2"/>
        <v>0.37375275818007442</v>
      </c>
      <c r="J29" s="30"/>
      <c r="K29" s="400">
        <v>1</v>
      </c>
      <c r="L29" s="400"/>
      <c r="M29" s="400">
        <v>0.98199999999999998</v>
      </c>
      <c r="N29" s="30"/>
      <c r="O29" s="30">
        <f t="shared" si="1"/>
        <v>1.0189999999999999</v>
      </c>
      <c r="P29" s="30"/>
      <c r="Q29" s="30" t="s">
        <v>32</v>
      </c>
      <c r="R29" s="30"/>
      <c r="S29" s="30">
        <f t="shared" si="0"/>
        <v>0.63365729294516371</v>
      </c>
    </row>
    <row r="30" spans="1:19" ht="16.149999999999999" customHeight="1">
      <c r="A30" s="177">
        <f>+'Exhibit 4.1'!B28</f>
        <v>2006</v>
      </c>
      <c r="B30" s="71"/>
      <c r="C30" s="30">
        <f>SUMIFS('Exhibit 5.1'!G:G,'Exhibit 5.1'!A:A,$A30)</f>
        <v>1.6218997938868485</v>
      </c>
      <c r="D30" s="71"/>
      <c r="E30" s="400">
        <v>1.4464597097202976</v>
      </c>
      <c r="F30" s="400"/>
      <c r="G30" s="400">
        <v>0.70795734920283027</v>
      </c>
      <c r="H30" s="71"/>
      <c r="I30" s="30">
        <f t="shared" si="2"/>
        <v>0.48944145795787719</v>
      </c>
      <c r="J30" s="71"/>
      <c r="K30" s="400">
        <v>1</v>
      </c>
      <c r="L30" s="401"/>
      <c r="M30" s="400">
        <v>0.95599999999999996</v>
      </c>
      <c r="N30" s="71"/>
      <c r="O30" s="30">
        <f t="shared" si="1"/>
        <v>1.0189999999999999</v>
      </c>
      <c r="P30" s="30"/>
      <c r="Q30" s="30" t="s">
        <v>32</v>
      </c>
      <c r="R30" s="71"/>
      <c r="S30" s="30">
        <f t="shared" si="0"/>
        <v>0.81487819276996454</v>
      </c>
    </row>
    <row r="31" spans="1:19" ht="16.149999999999999" customHeight="1">
      <c r="A31" s="177">
        <f>+'Exhibit 4.1'!B29</f>
        <v>2007</v>
      </c>
      <c r="B31" s="71"/>
      <c r="C31" s="30">
        <f>SUMIFS('Exhibit 5.1'!G:G,'Exhibit 5.1'!A:A,$A31)</f>
        <v>1.5520572190304771</v>
      </c>
      <c r="D31" s="71"/>
      <c r="E31" s="400">
        <v>1.4922810283559429</v>
      </c>
      <c r="F31" s="400"/>
      <c r="G31" s="400">
        <v>0.96455894537807607</v>
      </c>
      <c r="H31" s="71"/>
      <c r="I31" s="30">
        <f t="shared" si="2"/>
        <v>0.64636548146748063</v>
      </c>
      <c r="J31" s="71"/>
      <c r="K31" s="400">
        <v>1</v>
      </c>
      <c r="L31" s="401"/>
      <c r="M31" s="400">
        <v>0.93100000000000005</v>
      </c>
      <c r="N31" s="71"/>
      <c r="O31" s="30">
        <f t="shared" si="1"/>
        <v>1.0189999999999999</v>
      </c>
      <c r="P31" s="30"/>
      <c r="Q31" s="400">
        <v>0.98499999999999999</v>
      </c>
      <c r="R31" s="71"/>
      <c r="S31" s="30">
        <f>(C31*I31*K31*Q31)/(M31*O31)</f>
        <v>1.0415934710627588</v>
      </c>
    </row>
    <row r="32" spans="1:19" ht="16.149999999999999" customHeight="1">
      <c r="A32" s="177">
        <f>+'Exhibit 4.1'!B30</f>
        <v>2008</v>
      </c>
      <c r="B32" s="71"/>
      <c r="C32" s="30">
        <f>SUMIFS('Exhibit 5.1'!G:G,'Exhibit 5.1'!A:A,$A32)</f>
        <v>1.5201343966997818</v>
      </c>
      <c r="D32" s="71"/>
      <c r="E32" s="400">
        <v>1.4255010805037898</v>
      </c>
      <c r="F32" s="400"/>
      <c r="G32" s="400">
        <v>1.1479609217869249</v>
      </c>
      <c r="H32" s="71"/>
      <c r="I32" s="30">
        <f t="shared" si="2"/>
        <v>0.80530343855033859</v>
      </c>
      <c r="J32" s="71"/>
      <c r="K32" s="400">
        <v>1</v>
      </c>
      <c r="L32" s="401"/>
      <c r="M32" s="400">
        <v>0.94599999999999995</v>
      </c>
      <c r="N32" s="71"/>
      <c r="O32" s="30">
        <f t="shared" si="1"/>
        <v>1.0189999999999999</v>
      </c>
      <c r="P32" s="30"/>
      <c r="Q32" s="400">
        <v>0.99099999999999999</v>
      </c>
      <c r="R32" s="71"/>
      <c r="S32" s="30">
        <f>(C32*I32*K32*Q32)/(M32*O32)</f>
        <v>1.2584903032763226</v>
      </c>
    </row>
    <row r="33" spans="1:19" ht="16.149999999999999" customHeight="1">
      <c r="A33" s="177">
        <f>+'Exhibit 4.1'!B31</f>
        <v>2009</v>
      </c>
      <c r="B33" s="71"/>
      <c r="C33" s="30">
        <f>SUMIFS('Exhibit 5.1'!G:G,'Exhibit 5.1'!A:A,$A33)</f>
        <v>1.512571539004758</v>
      </c>
      <c r="D33" s="71"/>
      <c r="E33" s="400">
        <v>1.3652352901595544</v>
      </c>
      <c r="F33" s="400"/>
      <c r="G33" s="400">
        <v>1.131393621445371</v>
      </c>
      <c r="H33" s="71"/>
      <c r="I33" s="30">
        <f t="shared" si="2"/>
        <v>0.82871694688843389</v>
      </c>
      <c r="J33" s="71"/>
      <c r="K33" s="400">
        <v>1</v>
      </c>
      <c r="L33" s="401"/>
      <c r="M33" s="400">
        <v>0.93700000000000006</v>
      </c>
      <c r="N33" s="71"/>
      <c r="O33" s="30">
        <f t="shared" si="1"/>
        <v>1.0189999999999999</v>
      </c>
      <c r="P33" s="30"/>
      <c r="Q33" s="400">
        <v>1.034</v>
      </c>
      <c r="R33" s="71"/>
      <c r="S33" s="30">
        <f>(C33*I33*K33*Q33)/(M33*O33)</f>
        <v>1.3574658358404941</v>
      </c>
    </row>
    <row r="34" spans="1:19" ht="16.149999999999999" customHeight="1">
      <c r="A34" s="177">
        <f>+'Exhibit 4.1'!B32</f>
        <v>2010</v>
      </c>
      <c r="B34" s="71"/>
      <c r="C34" s="30">
        <f>SUMIFS('Exhibit 5.1'!G:G,'Exhibit 5.1'!A:A,$A34)</f>
        <v>1.4685160572861728</v>
      </c>
      <c r="D34" s="71"/>
      <c r="E34" s="400">
        <v>1.383177684716326</v>
      </c>
      <c r="F34" s="400"/>
      <c r="G34" s="400">
        <v>1.1090158937037302</v>
      </c>
      <c r="H34" s="71"/>
      <c r="I34" s="30">
        <f t="shared" si="2"/>
        <v>0.80178845130166831</v>
      </c>
      <c r="J34" s="71"/>
      <c r="K34" s="400">
        <v>1</v>
      </c>
      <c r="L34" s="401"/>
      <c r="M34" s="400">
        <v>0.94099999999999995</v>
      </c>
      <c r="N34" s="71"/>
      <c r="O34" s="30">
        <f t="shared" si="1"/>
        <v>1.0189999999999999</v>
      </c>
      <c r="P34" s="30"/>
      <c r="Q34" s="400">
        <v>1.0049999999999999</v>
      </c>
      <c r="R34" s="71"/>
      <c r="S34" s="30">
        <f>(C34*I34*K34*Q34)/(M34*O34)</f>
        <v>1.2340727154933295</v>
      </c>
    </row>
    <row r="35" spans="1:19" ht="16.149999999999999" customHeight="1">
      <c r="A35" s="177">
        <f>+'Exhibit 4.1'!B33</f>
        <v>2011</v>
      </c>
      <c r="B35" s="71"/>
      <c r="C35" s="30">
        <f>SUMIFS('Exhibit 5.1'!G:G,'Exhibit 5.1'!A:A,$A35)</f>
        <v>1.4257437449380319</v>
      </c>
      <c r="D35" s="71"/>
      <c r="E35" s="400">
        <v>1.4004038142172581</v>
      </c>
      <c r="F35" s="400"/>
      <c r="G35" s="400">
        <v>1.1079638700517283</v>
      </c>
      <c r="H35" s="71"/>
      <c r="I35" s="30">
        <f t="shared" si="2"/>
        <v>0.79117455894035371</v>
      </c>
      <c r="J35" s="71"/>
      <c r="K35" s="400">
        <v>1</v>
      </c>
      <c r="L35" s="401"/>
      <c r="M35" s="400">
        <v>0.98199999999999998</v>
      </c>
      <c r="N35" s="71"/>
      <c r="O35" s="30">
        <f t="shared" si="1"/>
        <v>1.0189999999999999</v>
      </c>
      <c r="P35" s="30"/>
      <c r="Q35" s="45" t="s">
        <v>32</v>
      </c>
      <c r="R35" s="71"/>
      <c r="S35" s="30">
        <f t="shared" si="0"/>
        <v>1.1272704346173374</v>
      </c>
    </row>
    <row r="36" spans="1:19" ht="16.149999999999999" customHeight="1">
      <c r="A36" s="177">
        <f>+'Exhibit 4.1'!B34</f>
        <v>2012</v>
      </c>
      <c r="B36" s="71"/>
      <c r="C36" s="30">
        <f>SUMIFS('Exhibit 5.1'!G:G,'Exhibit 5.1'!A:A,$A36)</f>
        <v>1.3682761467735431</v>
      </c>
      <c r="D36" s="71"/>
      <c r="E36" s="400">
        <v>1.2220103948433501</v>
      </c>
      <c r="F36" s="400"/>
      <c r="G36" s="400">
        <v>0.91334710457334511</v>
      </c>
      <c r="H36" s="71"/>
      <c r="I36" s="30">
        <f t="shared" si="2"/>
        <v>0.74741353136396793</v>
      </c>
      <c r="J36" s="71"/>
      <c r="K36" s="400">
        <v>1</v>
      </c>
      <c r="L36" s="401"/>
      <c r="M36" s="400">
        <v>1</v>
      </c>
      <c r="N36" s="71"/>
      <c r="O36" s="30">
        <f t="shared" si="1"/>
        <v>1.0189999999999999</v>
      </c>
      <c r="P36" s="30"/>
      <c r="Q36" s="30" t="s">
        <v>32</v>
      </c>
      <c r="R36" s="71"/>
      <c r="S36" s="30">
        <f t="shared" si="0"/>
        <v>1.0035997122091236</v>
      </c>
    </row>
    <row r="37" spans="1:19" ht="16.149999999999999" customHeight="1">
      <c r="A37" s="177">
        <f>+'Exhibit 4.1'!B35</f>
        <v>2013</v>
      </c>
      <c r="B37" s="71"/>
      <c r="C37" s="30">
        <f>SUMIFS('Exhibit 5.1'!G:G,'Exhibit 5.1'!A:A,$A37)</f>
        <v>1.3587647932209963</v>
      </c>
      <c r="D37" s="71"/>
      <c r="E37" s="400">
        <v>1.137541698501076</v>
      </c>
      <c r="F37" s="400"/>
      <c r="G37" s="400">
        <v>0.73537211504253996</v>
      </c>
      <c r="H37" s="71"/>
      <c r="I37" s="30">
        <f t="shared" si="2"/>
        <v>0.64645728241129996</v>
      </c>
      <c r="J37" s="71"/>
      <c r="K37" s="400">
        <v>1</v>
      </c>
      <c r="L37" s="401"/>
      <c r="M37" s="400">
        <v>0.98299999999999998</v>
      </c>
      <c r="N37" s="71"/>
      <c r="O37" s="30">
        <f t="shared" si="1"/>
        <v>1.0189999999999999</v>
      </c>
      <c r="P37" s="30"/>
      <c r="Q37" s="30" t="s">
        <v>32</v>
      </c>
      <c r="R37" s="71"/>
      <c r="S37" s="30">
        <f t="shared" si="0"/>
        <v>0.87691281287460654</v>
      </c>
    </row>
    <row r="38" spans="1:19" ht="16.149999999999999" customHeight="1">
      <c r="A38" s="177">
        <f>+'Exhibit 4.1'!B36</f>
        <v>2014</v>
      </c>
      <c r="B38" s="71"/>
      <c r="C38" s="30">
        <f>SUMIFS('Exhibit 5.1'!G:G,'Exhibit 5.1'!A:A,$A38)</f>
        <v>1.3153579798847981</v>
      </c>
      <c r="D38" s="71"/>
      <c r="E38" s="400">
        <v>1.1262425777085046</v>
      </c>
      <c r="F38" s="400"/>
      <c r="G38" s="400">
        <v>0.67751425691861533</v>
      </c>
      <c r="H38" s="71"/>
      <c r="I38" s="30">
        <f t="shared" si="2"/>
        <v>0.6015704523417249</v>
      </c>
      <c r="J38" s="71"/>
      <c r="K38" s="400">
        <v>1</v>
      </c>
      <c r="L38" s="401"/>
      <c r="M38" s="400">
        <v>0.96099999999999997</v>
      </c>
      <c r="N38" s="71"/>
      <c r="O38" s="30">
        <f t="shared" si="1"/>
        <v>1.0189999999999999</v>
      </c>
      <c r="P38" s="30"/>
      <c r="Q38" s="30" t="s">
        <v>32</v>
      </c>
      <c r="R38" s="71"/>
      <c r="S38" s="30">
        <f t="shared" si="0"/>
        <v>0.80804005370448018</v>
      </c>
    </row>
    <row r="39" spans="1:19" ht="16.149999999999999" customHeight="1">
      <c r="A39" s="177">
        <f>+'Exhibit 4.1'!B37</f>
        <v>2015</v>
      </c>
      <c r="B39" s="71"/>
      <c r="C39" s="30">
        <f>SUMIFS('Exhibit 5.1'!G:G,'Exhibit 5.1'!A:A,$A39)</f>
        <v>1.2587157702246872</v>
      </c>
      <c r="D39" s="71"/>
      <c r="E39" s="400">
        <v>1.108710054842371</v>
      </c>
      <c r="F39" s="400"/>
      <c r="G39" s="400">
        <v>0.65831712878862492</v>
      </c>
      <c r="H39" s="71"/>
      <c r="I39" s="30">
        <f t="shared" si="2"/>
        <v>0.59376852037498662</v>
      </c>
      <c r="J39" s="71"/>
      <c r="K39" s="400">
        <v>1</v>
      </c>
      <c r="L39" s="401"/>
      <c r="M39" s="400">
        <v>0.95099999999999996</v>
      </c>
      <c r="N39" s="71"/>
      <c r="O39" s="30">
        <f t="shared" si="1"/>
        <v>1.0189999999999999</v>
      </c>
      <c r="P39" s="30"/>
      <c r="Q39" s="30" t="s">
        <v>32</v>
      </c>
      <c r="R39" s="71"/>
      <c r="S39" s="30">
        <f>(C39*I39*K39)/(M39*O39)</f>
        <v>0.77124105761197015</v>
      </c>
    </row>
    <row r="40" spans="1:19" ht="16.149999999999999" customHeight="1">
      <c r="A40" s="177">
        <f>+'Exhibit 4.1'!B38</f>
        <v>2016</v>
      </c>
      <c r="B40" s="71"/>
      <c r="C40" s="30">
        <f>SUMIFS('Exhibit 5.1'!G:G,'Exhibit 5.1'!A:A,$A40)</f>
        <v>1.2352460944305077</v>
      </c>
      <c r="D40" s="71"/>
      <c r="E40" s="400">
        <v>1.1482060818297204</v>
      </c>
      <c r="F40" s="400"/>
      <c r="G40" s="400">
        <v>0.71629206105951371</v>
      </c>
      <c r="H40" s="71"/>
      <c r="I40" s="30">
        <f t="shared" si="2"/>
        <v>0.62383580125099891</v>
      </c>
      <c r="J40" s="71"/>
      <c r="K40" s="400">
        <v>1</v>
      </c>
      <c r="L40" s="401"/>
      <c r="M40" s="400">
        <v>0.94899999999999995</v>
      </c>
      <c r="N40" s="71"/>
      <c r="O40" s="30">
        <f t="shared" si="1"/>
        <v>1.0189999999999999</v>
      </c>
      <c r="P40" s="30"/>
      <c r="Q40" s="30" t="s">
        <v>32</v>
      </c>
      <c r="R40" s="71"/>
      <c r="S40" s="30">
        <f>(C40*I40*K40)/(M40*O40)</f>
        <v>0.79686249671543408</v>
      </c>
    </row>
    <row r="41" spans="1:19" s="204" customFormat="1" ht="16.149999999999999" customHeight="1">
      <c r="A41" s="206">
        <f>+'Exhibit 4.1'!B39</f>
        <v>2017</v>
      </c>
      <c r="B41" s="71"/>
      <c r="C41" s="30">
        <f>SUMIFS('Exhibit 5.1'!G:G,'Exhibit 5.1'!A:A,$A41)</f>
        <v>1.1843203206428645</v>
      </c>
      <c r="D41" s="71"/>
      <c r="E41" s="400">
        <v>1.1561680583207214</v>
      </c>
      <c r="F41" s="400"/>
      <c r="G41" s="400">
        <v>0.79312379336600436</v>
      </c>
      <c r="H41" s="71"/>
      <c r="I41" s="30">
        <f t="shared" si="2"/>
        <v>0.68599351768805872</v>
      </c>
      <c r="J41" s="71"/>
      <c r="K41" s="400">
        <v>1</v>
      </c>
      <c r="L41" s="401"/>
      <c r="M41" s="400">
        <v>0.95499999999999996</v>
      </c>
      <c r="N41" s="71"/>
      <c r="O41" s="30">
        <f t="shared" si="1"/>
        <v>1.0189999999999999</v>
      </c>
      <c r="P41" s="30"/>
      <c r="Q41" s="30" t="s">
        <v>32</v>
      </c>
      <c r="R41" s="71"/>
      <c r="S41" s="30">
        <f>(C41*I41*K41)/(M41*O41)</f>
        <v>0.8348561240382969</v>
      </c>
    </row>
    <row r="42" spans="1:19" s="284" customFormat="1" ht="16.149999999999999" customHeight="1">
      <c r="A42" s="252">
        <f>+'Exhibit 4.1'!B40</f>
        <v>2018</v>
      </c>
      <c r="B42" s="71"/>
      <c r="C42" s="30">
        <f>SUMIFS('Exhibit 5.1'!G:G,'Exhibit 5.1'!A:A,$A42)</f>
        <v>1.1420639543325599</v>
      </c>
      <c r="D42" s="71"/>
      <c r="E42" s="400">
        <v>1.1959623827900894</v>
      </c>
      <c r="F42" s="400"/>
      <c r="G42" s="400">
        <v>0.89656553282807638</v>
      </c>
      <c r="H42" s="71"/>
      <c r="I42" s="30">
        <f t="shared" ref="I42:I44" si="3">G42/E42</f>
        <v>0.74966031183728132</v>
      </c>
      <c r="J42" s="71"/>
      <c r="K42" s="400">
        <v>1</v>
      </c>
      <c r="L42" s="401"/>
      <c r="M42" s="400">
        <v>0.95599999999999996</v>
      </c>
      <c r="N42" s="71"/>
      <c r="O42" s="30">
        <f t="shared" si="1"/>
        <v>1.0189999999999999</v>
      </c>
      <c r="P42" s="30"/>
      <c r="Q42" s="30" t="s">
        <v>32</v>
      </c>
      <c r="R42" s="71"/>
      <c r="S42" s="30">
        <f t="shared" ref="S42" si="4">(C42*I42*K42)/(M42*O42)</f>
        <v>0.87886641278374644</v>
      </c>
    </row>
    <row r="43" spans="1:19" s="469" customFormat="1" ht="16.149999999999999" customHeight="1">
      <c r="A43" s="252">
        <f>+'Exhibit 4.1'!B41</f>
        <v>2019</v>
      </c>
      <c r="B43" s="71"/>
      <c r="C43" s="30">
        <f>SUMIFS('Exhibit 5.1'!G:G,'Exhibit 5.1'!A:A,$A43)</f>
        <v>1.0939309907399999</v>
      </c>
      <c r="D43" s="71"/>
      <c r="E43" s="400">
        <v>1.2139779591096682</v>
      </c>
      <c r="F43" s="400"/>
      <c r="G43" s="400">
        <v>1.0419564953764842</v>
      </c>
      <c r="H43" s="71"/>
      <c r="I43" s="30">
        <f t="shared" si="3"/>
        <v>0.85829935177789829</v>
      </c>
      <c r="J43" s="71"/>
      <c r="K43" s="400">
        <v>1</v>
      </c>
      <c r="L43" s="401"/>
      <c r="M43" s="400">
        <v>0.94699999999999995</v>
      </c>
      <c r="N43" s="71"/>
      <c r="O43" s="30">
        <f t="shared" si="1"/>
        <v>1.0189999999999999</v>
      </c>
      <c r="P43" s="30"/>
      <c r="Q43" s="30" t="s">
        <v>32</v>
      </c>
      <c r="R43" s="71"/>
      <c r="S43" s="30">
        <f t="shared" ref="S43:S44" si="5">(C43*I43*K43)/(M43*O43)</f>
        <v>0.97298142084128703</v>
      </c>
    </row>
    <row r="44" spans="1:19" s="295" customFormat="1" ht="16.149999999999999" customHeight="1">
      <c r="A44" s="252">
        <f>+'Exhibit 4.1'!B42</f>
        <v>2020</v>
      </c>
      <c r="B44" s="71"/>
      <c r="C44" s="30">
        <f>SUMIFS('Exhibit 5.1'!G:G,'Exhibit 5.1'!A:A,$A44)</f>
        <v>1.0631010599999999</v>
      </c>
      <c r="D44" s="71"/>
      <c r="E44" s="400">
        <v>1.2047866780515275</v>
      </c>
      <c r="F44" s="400"/>
      <c r="G44" s="400">
        <v>1.1616120711058031</v>
      </c>
      <c r="H44" s="71"/>
      <c r="I44" s="30">
        <f t="shared" si="3"/>
        <v>0.96416410661549679</v>
      </c>
      <c r="J44" s="71"/>
      <c r="K44" s="400">
        <v>1</v>
      </c>
      <c r="L44" s="401"/>
      <c r="M44" s="400">
        <v>0.94699999999999995</v>
      </c>
      <c r="N44" s="71"/>
      <c r="O44" s="30">
        <f t="shared" si="1"/>
        <v>1.0189999999999999</v>
      </c>
      <c r="P44" s="30"/>
      <c r="Q44" s="30" t="s">
        <v>32</v>
      </c>
      <c r="R44" s="71"/>
      <c r="S44" s="30">
        <f t="shared" si="5"/>
        <v>1.0621878954115602</v>
      </c>
    </row>
    <row r="45" spans="1:19" ht="16.149999999999999" customHeight="1">
      <c r="A45" s="177"/>
      <c r="B45" s="177"/>
      <c r="C45" s="31"/>
      <c r="D45" s="31"/>
      <c r="E45" s="31"/>
      <c r="F45" s="31"/>
      <c r="G45" s="31"/>
      <c r="H45" s="31"/>
      <c r="I45" s="42"/>
      <c r="J45" s="31"/>
      <c r="K45" s="31"/>
      <c r="L45" s="31"/>
      <c r="M45" s="31"/>
      <c r="N45" s="31"/>
      <c r="O45" s="31"/>
      <c r="P45" s="31"/>
      <c r="Q45" s="31"/>
      <c r="R45" s="31"/>
      <c r="S45" s="31"/>
    </row>
    <row r="46" spans="1:19" ht="16.149999999999999" customHeight="1">
      <c r="A46" s="31" t="s">
        <v>22</v>
      </c>
      <c r="B46" s="51" t="s">
        <v>163</v>
      </c>
      <c r="C46" s="177"/>
      <c r="D46" s="177"/>
      <c r="E46" s="177"/>
      <c r="F46" s="177"/>
      <c r="G46" s="177"/>
      <c r="H46" s="177"/>
      <c r="I46" s="39"/>
      <c r="J46" s="177"/>
      <c r="K46" s="177"/>
      <c r="L46" s="177"/>
      <c r="M46" s="177"/>
      <c r="N46" s="177"/>
      <c r="O46" s="177"/>
      <c r="P46" s="177"/>
      <c r="Q46" s="177"/>
      <c r="R46" s="177"/>
      <c r="S46" s="177"/>
    </row>
    <row r="47" spans="1:19" ht="16.149999999999999" customHeight="1">
      <c r="A47" s="31" t="s">
        <v>28</v>
      </c>
      <c r="B47" s="538" t="s">
        <v>164</v>
      </c>
      <c r="C47" s="538"/>
      <c r="D47" s="538"/>
      <c r="E47" s="538"/>
      <c r="F47" s="538"/>
      <c r="G47" s="538"/>
      <c r="H47" s="538"/>
      <c r="I47" s="538"/>
      <c r="J47" s="538"/>
      <c r="K47" s="538"/>
      <c r="L47" s="538"/>
      <c r="M47" s="538"/>
      <c r="N47" s="538"/>
      <c r="O47" s="538"/>
      <c r="P47" s="538"/>
      <c r="Q47" s="538"/>
      <c r="R47" s="538"/>
      <c r="S47" s="538"/>
    </row>
    <row r="48" spans="1:19" ht="16.149999999999999" customHeight="1">
      <c r="A48" s="31"/>
      <c r="B48" s="538" t="s">
        <v>165</v>
      </c>
      <c r="C48" s="538"/>
      <c r="D48" s="538"/>
      <c r="E48" s="538"/>
      <c r="F48" s="538"/>
      <c r="G48" s="538"/>
      <c r="H48" s="538"/>
      <c r="I48" s="538"/>
      <c r="J48" s="538"/>
      <c r="K48" s="538"/>
      <c r="L48" s="538"/>
      <c r="M48" s="538"/>
      <c r="N48" s="538"/>
      <c r="O48" s="538"/>
      <c r="P48" s="538"/>
      <c r="Q48" s="538"/>
      <c r="R48" s="538"/>
      <c r="S48" s="538"/>
    </row>
    <row r="49" spans="1:19" ht="16.149999999999999" customHeight="1">
      <c r="A49" s="31" t="s">
        <v>38</v>
      </c>
      <c r="B49" s="539" t="s">
        <v>543</v>
      </c>
      <c r="C49" s="539"/>
      <c r="D49" s="539"/>
      <c r="E49" s="539"/>
      <c r="F49" s="539"/>
      <c r="G49" s="539"/>
      <c r="H49" s="539"/>
      <c r="I49" s="539"/>
      <c r="J49" s="539"/>
      <c r="K49" s="539"/>
      <c r="L49" s="539"/>
      <c r="M49" s="539"/>
      <c r="N49" s="539"/>
      <c r="O49" s="539"/>
      <c r="P49" s="539"/>
      <c r="Q49" s="539"/>
      <c r="R49" s="539"/>
      <c r="S49" s="539"/>
    </row>
    <row r="50" spans="1:19" ht="16.149999999999999" customHeight="1">
      <c r="A50" s="31"/>
      <c r="B50" s="72" t="s">
        <v>541</v>
      </c>
      <c r="C50" s="180"/>
      <c r="D50" s="180"/>
      <c r="E50" s="180"/>
      <c r="F50" s="180"/>
      <c r="G50" s="180"/>
      <c r="H50" s="180"/>
      <c r="I50" s="180"/>
      <c r="J50" s="180"/>
      <c r="K50" s="180"/>
      <c r="L50" s="180"/>
      <c r="M50" s="180"/>
      <c r="N50" s="180"/>
      <c r="O50" s="180"/>
      <c r="P50" s="180"/>
      <c r="Q50" s="180"/>
      <c r="R50" s="180"/>
      <c r="S50" s="180"/>
    </row>
    <row r="51" spans="1:19" ht="16.149999999999999" customHeight="1">
      <c r="A51" s="31"/>
      <c r="B51" s="539" t="s">
        <v>542</v>
      </c>
      <c r="C51" s="539"/>
      <c r="D51" s="539"/>
      <c r="E51" s="539"/>
      <c r="F51" s="539"/>
      <c r="G51" s="539"/>
      <c r="H51" s="539"/>
      <c r="I51" s="539"/>
      <c r="J51" s="539"/>
      <c r="K51" s="539"/>
      <c r="L51" s="539"/>
      <c r="M51" s="539"/>
      <c r="N51" s="539"/>
      <c r="O51" s="539"/>
      <c r="P51" s="539"/>
      <c r="Q51" s="539"/>
      <c r="R51" s="539"/>
      <c r="S51" s="539"/>
    </row>
    <row r="52" spans="1:19" ht="16.149999999999999" customHeight="1">
      <c r="A52" s="31" t="s">
        <v>57</v>
      </c>
      <c r="B52" s="49" t="s">
        <v>166</v>
      </c>
      <c r="C52" s="177"/>
      <c r="D52" s="177"/>
      <c r="E52" s="177"/>
      <c r="F52" s="177"/>
      <c r="G52" s="177"/>
      <c r="H52" s="177"/>
      <c r="I52" s="39"/>
      <c r="J52" s="177"/>
      <c r="K52" s="177"/>
      <c r="L52" s="177"/>
      <c r="M52" s="177"/>
      <c r="N52" s="177"/>
      <c r="O52" s="177"/>
      <c r="P52" s="177"/>
      <c r="Q52" s="177"/>
      <c r="R52" s="177"/>
      <c r="S52" s="177"/>
    </row>
    <row r="53" spans="1:19" ht="16.149999999999999" customHeight="1">
      <c r="A53" s="31"/>
      <c r="B53" s="49" t="s">
        <v>544</v>
      </c>
      <c r="C53" s="177"/>
      <c r="D53" s="177"/>
      <c r="E53" s="177"/>
      <c r="F53" s="177"/>
      <c r="G53" s="177"/>
      <c r="H53" s="177"/>
      <c r="I53" s="39"/>
      <c r="J53" s="177"/>
      <c r="K53" s="177"/>
      <c r="L53" s="177"/>
      <c r="M53" s="177"/>
      <c r="N53" s="177"/>
      <c r="O53" s="177"/>
      <c r="P53" s="177"/>
      <c r="Q53" s="177"/>
      <c r="R53" s="177"/>
      <c r="S53" s="177"/>
    </row>
    <row r="54" spans="1:19" ht="16.149999999999999" customHeight="1">
      <c r="A54" s="31" t="s">
        <v>41</v>
      </c>
      <c r="B54" s="49" t="s">
        <v>167</v>
      </c>
      <c r="C54" s="177"/>
      <c r="D54" s="177"/>
      <c r="E54" s="177"/>
      <c r="F54" s="177"/>
      <c r="G54" s="177"/>
      <c r="H54" s="177"/>
      <c r="I54" s="39"/>
      <c r="J54" s="177"/>
      <c r="K54" s="177"/>
      <c r="L54" s="177"/>
      <c r="M54" s="177"/>
      <c r="N54" s="177"/>
      <c r="O54" s="177"/>
      <c r="P54" s="177"/>
      <c r="Q54" s="177"/>
      <c r="R54" s="177"/>
      <c r="S54" s="177"/>
    </row>
    <row r="55" spans="1:19" ht="16.149999999999999" customHeight="1">
      <c r="A55" s="31" t="s">
        <v>76</v>
      </c>
      <c r="B55" s="537" t="s">
        <v>168</v>
      </c>
      <c r="C55" s="537"/>
      <c r="D55" s="537"/>
      <c r="E55" s="537"/>
      <c r="F55" s="537"/>
      <c r="G55" s="537"/>
      <c r="H55" s="537"/>
      <c r="I55" s="537"/>
      <c r="J55" s="537"/>
      <c r="K55" s="537"/>
      <c r="L55" s="537"/>
      <c r="M55" s="537"/>
      <c r="N55" s="537"/>
      <c r="O55" s="537"/>
      <c r="P55" s="537"/>
      <c r="Q55" s="537"/>
      <c r="R55" s="537"/>
      <c r="S55" s="537"/>
    </row>
    <row r="56" spans="1:19" ht="16.149999999999999" customHeight="1">
      <c r="A56" s="31"/>
      <c r="B56" s="537" t="s">
        <v>169</v>
      </c>
      <c r="C56" s="537"/>
      <c r="D56" s="537"/>
      <c r="E56" s="537"/>
      <c r="F56" s="537"/>
      <c r="G56" s="537"/>
      <c r="H56" s="537"/>
      <c r="I56" s="537"/>
      <c r="J56" s="537"/>
      <c r="K56" s="537"/>
      <c r="L56" s="537"/>
      <c r="M56" s="537"/>
      <c r="N56" s="537"/>
      <c r="O56" s="537"/>
      <c r="P56" s="537"/>
      <c r="Q56" s="537"/>
      <c r="R56" s="175"/>
      <c r="S56" s="175"/>
    </row>
    <row r="57" spans="1:19" ht="16.149999999999999" customHeight="1">
      <c r="A57" s="31" t="s">
        <v>170</v>
      </c>
      <c r="B57" s="49" t="s">
        <v>171</v>
      </c>
      <c r="C57" s="177"/>
      <c r="D57" s="177"/>
      <c r="E57" s="177"/>
      <c r="F57" s="177"/>
      <c r="G57" s="177"/>
      <c r="H57" s="177"/>
      <c r="I57" s="39"/>
      <c r="J57" s="177"/>
      <c r="K57" s="177"/>
      <c r="L57" s="177"/>
      <c r="M57" s="177"/>
      <c r="N57" s="177"/>
      <c r="O57" s="177"/>
      <c r="P57" s="177"/>
      <c r="Q57" s="177"/>
      <c r="R57" s="177"/>
      <c r="S57" s="177"/>
    </row>
    <row r="58" spans="1:19" ht="16.149999999999999" customHeight="1">
      <c r="A58" s="177"/>
      <c r="B58" s="49" t="s">
        <v>172</v>
      </c>
      <c r="C58" s="177"/>
      <c r="D58" s="177"/>
      <c r="E58" s="177"/>
      <c r="F58" s="177"/>
      <c r="G58" s="177"/>
      <c r="H58" s="177"/>
      <c r="I58" s="39"/>
      <c r="J58" s="177"/>
      <c r="K58" s="177"/>
      <c r="L58" s="177"/>
      <c r="M58" s="177"/>
      <c r="N58" s="177"/>
      <c r="O58" s="177"/>
      <c r="P58" s="177"/>
      <c r="Q58" s="177"/>
      <c r="R58" s="177"/>
      <c r="S58" s="177"/>
    </row>
    <row r="59" spans="1:19" ht="16.149999999999999" customHeight="1">
      <c r="A59" s="177"/>
      <c r="B59" s="49" t="s">
        <v>173</v>
      </c>
      <c r="C59" s="177"/>
      <c r="D59" s="177"/>
      <c r="E59" s="177"/>
      <c r="F59" s="177"/>
      <c r="G59" s="177"/>
      <c r="H59" s="177"/>
      <c r="I59" s="39"/>
      <c r="J59" s="177"/>
      <c r="K59" s="177"/>
      <c r="L59" s="177"/>
      <c r="M59" s="177"/>
      <c r="N59" s="177"/>
      <c r="O59" s="177"/>
      <c r="P59" s="177"/>
      <c r="Q59" s="177"/>
      <c r="R59" s="177"/>
      <c r="S59" s="177"/>
    </row>
    <row r="60" spans="1:19" ht="16.149999999999999" customHeight="1">
      <c r="A60" s="31" t="s">
        <v>174</v>
      </c>
      <c r="B60" s="49" t="s">
        <v>175</v>
      </c>
      <c r="C60" s="177"/>
      <c r="D60" s="177"/>
      <c r="E60" s="177"/>
      <c r="F60" s="177"/>
      <c r="G60" s="177"/>
      <c r="H60" s="177"/>
      <c r="I60" s="39"/>
      <c r="J60" s="177"/>
      <c r="K60" s="177"/>
      <c r="L60" s="177"/>
      <c r="M60" s="177"/>
      <c r="N60" s="177"/>
      <c r="O60" s="177"/>
      <c r="P60" s="177"/>
      <c r="Q60" s="177"/>
      <c r="R60" s="177"/>
      <c r="S60" s="177"/>
    </row>
  </sheetData>
  <mergeCells count="6">
    <mergeCell ref="B55:S55"/>
    <mergeCell ref="B56:Q56"/>
    <mergeCell ref="B47:S47"/>
    <mergeCell ref="B48:S48"/>
    <mergeCell ref="B49:S49"/>
    <mergeCell ref="B51:S51"/>
  </mergeCells>
  <printOptions horizontalCentered="1"/>
  <pageMargins left="0.5" right="0.5" top="0.75" bottom="0.75" header="0.33" footer="0.33"/>
  <pageSetup scale="70" orientation="portrait" blackAndWhite="1" horizontalDpi="1200" verticalDpi="1200" r:id="rId1"/>
  <headerFooter scaleWithDoc="0">
    <oddHeader>&amp;R&amp;"Arial,Regular"&amp;10Exhibit 5.2</oddHeader>
  </headerFooter>
  <ignoredErrors>
    <ignoredError sqref="C3:S3" numberStoredAsText="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pageSetUpPr fitToPage="1"/>
  </sheetPr>
  <dimension ref="A1:I75"/>
  <sheetViews>
    <sheetView zoomScaleNormal="100" zoomScaleSheetLayoutView="70" workbookViewId="0"/>
  </sheetViews>
  <sheetFormatPr defaultColWidth="9.1796875" defaultRowHeight="12.5"/>
  <cols>
    <col min="1" max="1" width="9.453125" style="174" customWidth="1"/>
    <col min="2" max="9" width="18.26953125" style="174" customWidth="1"/>
    <col min="10" max="16384" width="9.1796875" style="108"/>
  </cols>
  <sheetData>
    <row r="1" spans="1:9" ht="15.5">
      <c r="A1" s="183" t="s">
        <v>444</v>
      </c>
      <c r="B1" s="184"/>
      <c r="C1" s="184"/>
      <c r="D1" s="184"/>
      <c r="E1" s="184"/>
      <c r="F1" s="184"/>
      <c r="G1" s="184"/>
      <c r="H1" s="184"/>
      <c r="I1" s="184"/>
    </row>
    <row r="2" spans="1:9" ht="15.5">
      <c r="A2" s="183" t="s">
        <v>549</v>
      </c>
      <c r="B2" s="184"/>
      <c r="C2" s="184"/>
      <c r="D2" s="184"/>
      <c r="E2" s="184"/>
      <c r="F2" s="184"/>
      <c r="G2" s="184"/>
      <c r="H2" s="184"/>
      <c r="I2" s="184"/>
    </row>
    <row r="3" spans="1:9" ht="15.5">
      <c r="A3" s="297"/>
      <c r="B3" s="184"/>
      <c r="C3" s="184"/>
      <c r="D3" s="184"/>
      <c r="E3" s="184"/>
      <c r="F3" s="184"/>
      <c r="G3" s="184"/>
      <c r="H3" s="184"/>
      <c r="I3" s="184"/>
    </row>
    <row r="4" spans="1:9" ht="13">
      <c r="A4" s="186"/>
      <c r="B4" s="185" t="s">
        <v>176</v>
      </c>
      <c r="C4" s="185" t="s">
        <v>177</v>
      </c>
      <c r="D4" s="185"/>
      <c r="E4" s="185"/>
      <c r="F4" s="185"/>
      <c r="G4" s="183"/>
      <c r="H4" s="185"/>
      <c r="I4" s="185"/>
    </row>
    <row r="5" spans="1:9">
      <c r="A5" s="186"/>
      <c r="B5" s="185" t="s">
        <v>178</v>
      </c>
      <c r="C5" s="187" t="s">
        <v>179</v>
      </c>
      <c r="D5" s="187"/>
      <c r="E5" s="187"/>
      <c r="F5" s="188" t="s">
        <v>180</v>
      </c>
      <c r="G5" s="188"/>
      <c r="H5" s="188" t="s">
        <v>181</v>
      </c>
      <c r="I5" s="188" t="s">
        <v>182</v>
      </c>
    </row>
    <row r="6" spans="1:9">
      <c r="A6" s="186"/>
      <c r="B6" s="185" t="s">
        <v>183</v>
      </c>
      <c r="C6" s="185" t="s">
        <v>550</v>
      </c>
      <c r="D6" s="185"/>
      <c r="E6" s="185"/>
      <c r="F6" s="189" t="s">
        <v>3</v>
      </c>
      <c r="G6" s="189" t="s">
        <v>21</v>
      </c>
      <c r="H6" s="189" t="s">
        <v>184</v>
      </c>
      <c r="I6" s="189" t="s">
        <v>185</v>
      </c>
    </row>
    <row r="7" spans="1:9">
      <c r="A7" s="190" t="s">
        <v>186</v>
      </c>
      <c r="B7" s="191" t="s">
        <v>116</v>
      </c>
      <c r="C7" s="191" t="s">
        <v>116</v>
      </c>
      <c r="D7" s="191" t="s">
        <v>21</v>
      </c>
      <c r="E7" s="191" t="s">
        <v>187</v>
      </c>
      <c r="F7" s="190" t="s">
        <v>188</v>
      </c>
      <c r="G7" s="190" t="s">
        <v>189</v>
      </c>
      <c r="H7" s="192" t="s">
        <v>190</v>
      </c>
      <c r="I7" s="190" t="s">
        <v>191</v>
      </c>
    </row>
    <row r="8" spans="1:9">
      <c r="A8" s="195">
        <v>1979</v>
      </c>
      <c r="B8" s="404">
        <v>4.996951677645578E-3</v>
      </c>
      <c r="C8" s="405">
        <v>4.9845083498674808E-3</v>
      </c>
      <c r="D8" s="406">
        <v>-5.2639272086864149E-2</v>
      </c>
      <c r="E8" s="406">
        <v>6.9882945083222948E-3</v>
      </c>
      <c r="F8" s="405">
        <v>0</v>
      </c>
      <c r="G8" s="405">
        <v>-5.9627566595186289E-2</v>
      </c>
      <c r="H8" s="405">
        <v>0.13408616658119105</v>
      </c>
      <c r="I8" s="405">
        <v>0</v>
      </c>
    </row>
    <row r="9" spans="1:9">
      <c r="A9" s="189">
        <v>1980</v>
      </c>
      <c r="B9" s="407">
        <v>-6.5372010652822943E-2</v>
      </c>
      <c r="C9" s="408">
        <v>-6.760670122161723E-2</v>
      </c>
      <c r="D9" s="409">
        <v>-0.13190207228618936</v>
      </c>
      <c r="E9" s="409">
        <v>-6.5507381151861679E-2</v>
      </c>
      <c r="F9" s="408">
        <v>3.3258233100083939E-2</v>
      </c>
      <c r="G9" s="408">
        <v>-6.6394691134327818E-2</v>
      </c>
      <c r="H9" s="408">
        <v>-8.1331600752153746E-2</v>
      </c>
      <c r="I9" s="408">
        <v>0</v>
      </c>
    </row>
    <row r="10" spans="1:9">
      <c r="A10" s="189">
        <v>1981</v>
      </c>
      <c r="B10" s="407">
        <v>-3.5390032063058796E-2</v>
      </c>
      <c r="C10" s="408">
        <v>-3.6031437648905124E-2</v>
      </c>
      <c r="D10" s="409">
        <v>-2.788134624470244E-2</v>
      </c>
      <c r="E10" s="409">
        <v>-3.6289899456888999E-2</v>
      </c>
      <c r="F10" s="408">
        <v>0</v>
      </c>
      <c r="G10" s="408">
        <v>8.4085532121865036E-3</v>
      </c>
      <c r="H10" s="408">
        <v>-7.912780584622213E-2</v>
      </c>
      <c r="I10" s="408">
        <v>0</v>
      </c>
    </row>
    <row r="11" spans="1:9">
      <c r="A11" s="189">
        <v>1982</v>
      </c>
      <c r="B11" s="407">
        <v>-1.5938533526818843E-2</v>
      </c>
      <c r="C11" s="408">
        <v>-1.6066917952768836E-2</v>
      </c>
      <c r="D11" s="409">
        <v>0.15335055943321965</v>
      </c>
      <c r="E11" s="409">
        <v>-2.1963555191119827E-2</v>
      </c>
      <c r="F11" s="408">
        <v>0.35238649210176365</v>
      </c>
      <c r="G11" s="408">
        <v>0.17531411462433988</v>
      </c>
      <c r="H11" s="408">
        <v>-0.29401063487844997</v>
      </c>
      <c r="I11" s="408">
        <v>0</v>
      </c>
    </row>
    <row r="12" spans="1:9">
      <c r="A12" s="189">
        <v>1983</v>
      </c>
      <c r="B12" s="407">
        <v>6.2017702093358995E-2</v>
      </c>
      <c r="C12" s="408">
        <v>6.0170591318641387E-2</v>
      </c>
      <c r="D12" s="409">
        <v>0.2135102683400989</v>
      </c>
      <c r="E12" s="409">
        <v>5.3861846189502481E-2</v>
      </c>
      <c r="F12" s="408">
        <v>8.1444237360177044E-2</v>
      </c>
      <c r="G12" s="408">
        <v>0.15964842215059583</v>
      </c>
      <c r="H12" s="408">
        <v>2.8730052881709493E-2</v>
      </c>
      <c r="I12" s="408">
        <v>0</v>
      </c>
    </row>
    <row r="13" spans="1:9">
      <c r="A13" s="189">
        <v>1984</v>
      </c>
      <c r="B13" s="407">
        <v>9.5263605305207832E-2</v>
      </c>
      <c r="C13" s="408">
        <v>9.0995069734884068E-2</v>
      </c>
      <c r="D13" s="409">
        <v>0.23541049732325831</v>
      </c>
      <c r="E13" s="409">
        <v>8.4054621235545926E-2</v>
      </c>
      <c r="F13" s="408">
        <v>0</v>
      </c>
      <c r="G13" s="408">
        <v>0.15135587608771287</v>
      </c>
      <c r="H13" s="408">
        <v>0.22177553323236901</v>
      </c>
      <c r="I13" s="408">
        <v>0</v>
      </c>
    </row>
    <row r="14" spans="1:9">
      <c r="A14" s="189">
        <v>1985</v>
      </c>
      <c r="B14" s="407">
        <v>2.0483778753561221E-2</v>
      </c>
      <c r="C14" s="408">
        <v>2.0276807750504548E-2</v>
      </c>
      <c r="D14" s="409">
        <v>0.13787669517060758</v>
      </c>
      <c r="E14" s="409">
        <v>1.379248066620665E-2</v>
      </c>
      <c r="F14" s="408">
        <v>0</v>
      </c>
      <c r="G14" s="408">
        <v>0.12408421450440074</v>
      </c>
      <c r="H14" s="408">
        <v>8.0319786051057773E-2</v>
      </c>
      <c r="I14" s="408">
        <v>0</v>
      </c>
    </row>
    <row r="15" spans="1:9">
      <c r="A15" s="189">
        <v>1986</v>
      </c>
      <c r="B15" s="407">
        <v>-2.3852229652900014E-2</v>
      </c>
      <c r="C15" s="408">
        <v>-2.4141299985320282E-2</v>
      </c>
      <c r="D15" s="409">
        <v>3.8772799763753689E-2</v>
      </c>
      <c r="E15" s="409">
        <v>-2.7956017733358082E-2</v>
      </c>
      <c r="F15" s="408">
        <v>0</v>
      </c>
      <c r="G15" s="408">
        <v>6.6728817497111265E-2</v>
      </c>
      <c r="H15" s="408">
        <v>7.7541303244814369E-2</v>
      </c>
      <c r="I15" s="408">
        <v>0</v>
      </c>
    </row>
    <row r="16" spans="1:9">
      <c r="A16" s="189">
        <v>1987</v>
      </c>
      <c r="B16" s="407">
        <v>1.532409107754984E-2</v>
      </c>
      <c r="C16" s="408">
        <v>1.5207863082094385E-2</v>
      </c>
      <c r="D16" s="409">
        <v>5.3485296878037721E-2</v>
      </c>
      <c r="E16" s="409">
        <v>1.2759105237651168E-2</v>
      </c>
      <c r="F16" s="408">
        <v>0</v>
      </c>
      <c r="G16" s="408">
        <v>4.0726191640387086E-2</v>
      </c>
      <c r="H16" s="408">
        <v>0.15072069861960008</v>
      </c>
      <c r="I16" s="408">
        <v>0</v>
      </c>
    </row>
    <row r="17" spans="1:9">
      <c r="A17" s="189">
        <v>1988</v>
      </c>
      <c r="B17" s="407">
        <v>6.9455187248026462E-3</v>
      </c>
      <c r="C17" s="408">
        <v>6.9215097155328198E-3</v>
      </c>
      <c r="D17" s="409">
        <v>0.1041416184721015</v>
      </c>
      <c r="E17" s="409">
        <v>2.3329939342024329E-4</v>
      </c>
      <c r="F17" s="408">
        <v>0</v>
      </c>
      <c r="G17" s="408">
        <v>0.10390831907868088</v>
      </c>
      <c r="H17" s="408">
        <v>8.8105047159344918E-2</v>
      </c>
      <c r="I17" s="408">
        <v>0</v>
      </c>
    </row>
    <row r="18" spans="1:9">
      <c r="A18" s="189">
        <v>1989</v>
      </c>
      <c r="B18" s="407">
        <v>2.4723678176935771E-2</v>
      </c>
      <c r="C18" s="408">
        <v>2.4422993980136278E-2</v>
      </c>
      <c r="D18" s="409">
        <v>0.21198029010894845</v>
      </c>
      <c r="E18" s="409">
        <v>9.3669743793905746E-3</v>
      </c>
      <c r="F18" s="408">
        <v>4.6028738573505555E-2</v>
      </c>
      <c r="G18" s="408">
        <v>0.2026133157295579</v>
      </c>
      <c r="H18" s="408">
        <v>4.4562648437341493E-2</v>
      </c>
      <c r="I18" s="408">
        <v>0</v>
      </c>
    </row>
    <row r="19" spans="1:9">
      <c r="A19" s="189">
        <v>1990</v>
      </c>
      <c r="B19" s="407">
        <v>9.0431739543242795E-2</v>
      </c>
      <c r="C19" s="408">
        <v>8.6573709141667676E-2</v>
      </c>
      <c r="D19" s="409">
        <v>0.33726703179095874</v>
      </c>
      <c r="E19" s="409">
        <v>6.0975811134139739E-2</v>
      </c>
      <c r="F19" s="408">
        <v>7.0942886375604683E-2</v>
      </c>
      <c r="G19" s="408">
        <v>0.27629122065681905</v>
      </c>
      <c r="H19" s="408">
        <v>-0.12127786090349434</v>
      </c>
      <c r="I19" s="408">
        <v>0</v>
      </c>
    </row>
    <row r="20" spans="1:9">
      <c r="A20" s="189">
        <v>1991</v>
      </c>
      <c r="B20" s="407">
        <v>2.8095177145757155E-3</v>
      </c>
      <c r="C20" s="408">
        <v>2.8055783963461317E-3</v>
      </c>
      <c r="D20" s="409">
        <v>0.16630586980360007</v>
      </c>
      <c r="E20" s="409">
        <v>-1.8183245384130107E-2</v>
      </c>
      <c r="F20" s="408">
        <v>2.340777541294272E-2</v>
      </c>
      <c r="G20" s="408">
        <v>0.18448911518773031</v>
      </c>
      <c r="H20" s="408">
        <v>-0.29325333611849724</v>
      </c>
      <c r="I20" s="408">
        <v>0</v>
      </c>
    </row>
    <row r="21" spans="1:9">
      <c r="A21" s="189">
        <v>1992</v>
      </c>
      <c r="B21" s="407">
        <v>-0.11086208081540316</v>
      </c>
      <c r="C21" s="408">
        <v>-0.11750291581093954</v>
      </c>
      <c r="D21" s="409">
        <v>-0.27176512011861087</v>
      </c>
      <c r="E21" s="409">
        <v>-9.7599912420887322E-2</v>
      </c>
      <c r="F21" s="408">
        <v>1.3154751304001039E-2</v>
      </c>
      <c r="G21" s="408">
        <v>-0.17416520769772356</v>
      </c>
      <c r="H21" s="408">
        <v>-0.18647899487575326</v>
      </c>
      <c r="I21" s="408">
        <v>6.7511000000000002E-2</v>
      </c>
    </row>
    <row r="22" spans="1:9">
      <c r="A22" s="189">
        <v>1993</v>
      </c>
      <c r="B22" s="407">
        <v>-0.14914649482656284</v>
      </c>
      <c r="C22" s="408">
        <v>-0.16151530955933532</v>
      </c>
      <c r="D22" s="409">
        <v>-0.24038164723996919</v>
      </c>
      <c r="E22" s="409">
        <v>-0.15259548150007832</v>
      </c>
      <c r="F22" s="408">
        <v>-5.6706294133613756E-2</v>
      </c>
      <c r="G22" s="408">
        <v>-8.7786165739890787E-2</v>
      </c>
      <c r="H22" s="408">
        <v>-2.1879889531241318E-2</v>
      </c>
      <c r="I22" s="408">
        <v>0.46447899999999998</v>
      </c>
    </row>
    <row r="23" spans="1:9">
      <c r="A23" s="189">
        <v>1994</v>
      </c>
      <c r="B23" s="407">
        <v>-0.12757778326307023</v>
      </c>
      <c r="C23" s="408">
        <v>-0.13648177875135456</v>
      </c>
      <c r="D23" s="409">
        <v>-0.46188263759483356</v>
      </c>
      <c r="E23" s="409">
        <v>-0.10686638036123315</v>
      </c>
      <c r="F23" s="408">
        <v>6.1379405889037029E-2</v>
      </c>
      <c r="G23" s="408">
        <v>-0.35501625723360081</v>
      </c>
      <c r="H23" s="408">
        <v>0.10629553462197</v>
      </c>
      <c r="I23" s="408">
        <v>0.17288400000000001</v>
      </c>
    </row>
    <row r="24" spans="1:9">
      <c r="A24" s="189">
        <v>1995</v>
      </c>
      <c r="B24" s="407">
        <v>-4.6400151867120876E-2</v>
      </c>
      <c r="C24" s="408">
        <v>-4.7511141927692853E-2</v>
      </c>
      <c r="D24" s="409">
        <v>-1.6114250066335545E-2</v>
      </c>
      <c r="E24" s="409">
        <v>-4.993416677055941E-2</v>
      </c>
      <c r="F24" s="408">
        <v>5.2576129225968458E-2</v>
      </c>
      <c r="G24" s="408">
        <v>3.3819916704223844E-2</v>
      </c>
      <c r="H24" s="408">
        <v>9.209133891054655E-2</v>
      </c>
      <c r="I24" s="408">
        <v>0.295126</v>
      </c>
    </row>
    <row r="25" spans="1:9">
      <c r="A25" s="189">
        <v>1996</v>
      </c>
      <c r="B25" s="407">
        <v>-6.7844028191238914E-2</v>
      </c>
      <c r="C25" s="408">
        <v>-7.025512657214536E-2</v>
      </c>
      <c r="D25" s="409">
        <v>-0.13633037433528736</v>
      </c>
      <c r="E25" s="409">
        <v>-6.524925551029194E-2</v>
      </c>
      <c r="F25" s="408">
        <v>9.5585116390051669E-2</v>
      </c>
      <c r="G25" s="408">
        <v>-7.1081118824995168E-2</v>
      </c>
      <c r="H25" s="408">
        <v>7.4421824644471349E-2</v>
      </c>
      <c r="I25" s="408">
        <v>0</v>
      </c>
    </row>
    <row r="26" spans="1:9">
      <c r="A26" s="189">
        <v>1997</v>
      </c>
      <c r="B26" s="407">
        <v>-3.2688424861443965E-2</v>
      </c>
      <c r="C26" s="408">
        <v>-3.3234627424050311E-2</v>
      </c>
      <c r="D26" s="409">
        <v>-2.2605849017297504E-2</v>
      </c>
      <c r="E26" s="409">
        <v>-3.4016057861559208E-2</v>
      </c>
      <c r="F26" s="408">
        <v>6.5591055844175003E-2</v>
      </c>
      <c r="G26" s="408">
        <v>1.1410208844261615E-2</v>
      </c>
      <c r="H26" s="408">
        <v>0.13739344546270013</v>
      </c>
      <c r="I26" s="408">
        <v>0</v>
      </c>
    </row>
    <row r="27" spans="1:9">
      <c r="A27" s="189">
        <v>1998</v>
      </c>
      <c r="B27" s="407">
        <v>-3.7601209152480553E-2</v>
      </c>
      <c r="C27" s="408">
        <v>-3.832637071530897E-2</v>
      </c>
      <c r="D27" s="409">
        <v>-3.9795137481566871E-2</v>
      </c>
      <c r="E27" s="409">
        <v>-3.821785490786761E-2</v>
      </c>
      <c r="F27" s="408">
        <v>5.7708699010089543E-2</v>
      </c>
      <c r="G27" s="408">
        <v>-1.5772825736988533E-3</v>
      </c>
      <c r="H27" s="408">
        <v>7.8245949511274698E-2</v>
      </c>
      <c r="I27" s="408">
        <v>0</v>
      </c>
    </row>
    <row r="28" spans="1:9">
      <c r="A28" s="189">
        <v>1999</v>
      </c>
      <c r="B28" s="407">
        <v>1.453343398895135E-2</v>
      </c>
      <c r="C28" s="408">
        <v>1.4428835865828086E-2</v>
      </c>
      <c r="D28" s="409">
        <v>9.9873835725106386E-2</v>
      </c>
      <c r="E28" s="409">
        <v>7.8218339221365826E-3</v>
      </c>
      <c r="F28" s="408">
        <v>3.9845917280876893E-2</v>
      </c>
      <c r="G28" s="408">
        <v>9.2052001802969921E-2</v>
      </c>
      <c r="H28" s="408">
        <v>0.12755344794733586</v>
      </c>
      <c r="I28" s="408">
        <v>0</v>
      </c>
    </row>
    <row r="29" spans="1:9">
      <c r="A29" s="189">
        <v>2000</v>
      </c>
      <c r="B29" s="407">
        <v>4.0172321124359867E-2</v>
      </c>
      <c r="C29" s="408">
        <v>3.9386392816455458E-2</v>
      </c>
      <c r="D29" s="409">
        <v>7.072688313130121E-2</v>
      </c>
      <c r="E29" s="409">
        <v>3.6806126441877494E-2</v>
      </c>
      <c r="F29" s="408">
        <v>-3.103180999786116E-3</v>
      </c>
      <c r="G29" s="408">
        <v>3.3920756689423397E-2</v>
      </c>
      <c r="H29" s="408">
        <v>6.5929751011839469E-2</v>
      </c>
      <c r="I29" s="408">
        <v>0</v>
      </c>
    </row>
    <row r="30" spans="1:9">
      <c r="A30" s="189">
        <v>2001</v>
      </c>
      <c r="B30" s="407">
        <v>-6.9103689982354943E-2</v>
      </c>
      <c r="C30" s="408">
        <v>-7.1607382754491744E-2</v>
      </c>
      <c r="D30" s="409">
        <v>-1.7509428585871574E-2</v>
      </c>
      <c r="E30" s="409">
        <v>-7.6272908969484965E-2</v>
      </c>
      <c r="F30" s="408">
        <v>-7.349595133649695E-3</v>
      </c>
      <c r="G30" s="408">
        <v>5.8763480383613238E-2</v>
      </c>
      <c r="H30" s="408">
        <v>-0.1008801562865615</v>
      </c>
      <c r="I30" s="408">
        <v>0</v>
      </c>
    </row>
    <row r="31" spans="1:9">
      <c r="A31" s="189">
        <v>2002</v>
      </c>
      <c r="B31" s="407">
        <v>-2.3139389677829136E-2</v>
      </c>
      <c r="C31" s="408">
        <v>-2.3411308231283959E-2</v>
      </c>
      <c r="D31" s="409">
        <v>6.7673039462494379E-3</v>
      </c>
      <c r="E31" s="409">
        <v>-2.6135815610813542E-2</v>
      </c>
      <c r="F31" s="408">
        <v>6.0028862535367128E-2</v>
      </c>
      <c r="G31" s="408">
        <v>3.2903119557063397E-2</v>
      </c>
      <c r="H31" s="408">
        <v>-0.20244707305443244</v>
      </c>
      <c r="I31" s="408">
        <v>0</v>
      </c>
    </row>
    <row r="32" spans="1:9">
      <c r="A32" s="189">
        <v>2003</v>
      </c>
      <c r="B32" s="407">
        <v>-2.8604501419591699E-2</v>
      </c>
      <c r="C32" s="408">
        <v>-2.9021583031807623E-2</v>
      </c>
      <c r="D32" s="409">
        <v>-5.312654112006477E-3</v>
      </c>
      <c r="E32" s="409">
        <v>-3.1225860187038063E-2</v>
      </c>
      <c r="F32" s="408">
        <v>-6.5341083840120134E-2</v>
      </c>
      <c r="G32" s="408">
        <v>2.5913206075031378E-2</v>
      </c>
      <c r="H32" s="408">
        <v>-2.3097181443827528E-2</v>
      </c>
      <c r="I32" s="408">
        <v>0</v>
      </c>
    </row>
    <row r="33" spans="1:9">
      <c r="A33" s="189">
        <v>2004</v>
      </c>
      <c r="B33" s="407">
        <v>-0.16646224614970306</v>
      </c>
      <c r="C33" s="408">
        <v>-0.18207628225585723</v>
      </c>
      <c r="D33" s="409">
        <v>-0.20937327336323441</v>
      </c>
      <c r="E33" s="409">
        <v>-0.17954336020568043</v>
      </c>
      <c r="F33" s="408">
        <v>-0.39778538419240267</v>
      </c>
      <c r="G33" s="408">
        <v>-2.9829913157553775E-2</v>
      </c>
      <c r="H33" s="408">
        <v>9.3423742970787677E-2</v>
      </c>
      <c r="I33" s="408">
        <v>0</v>
      </c>
    </row>
    <row r="34" spans="1:9">
      <c r="A34" s="189">
        <v>2005</v>
      </c>
      <c r="B34" s="407">
        <v>-0.13587028767775988</v>
      </c>
      <c r="C34" s="408">
        <v>-0.14603239144386973</v>
      </c>
      <c r="D34" s="409">
        <v>-0.29802144855667284</v>
      </c>
      <c r="E34" s="409">
        <v>-0.13322506707245921</v>
      </c>
      <c r="F34" s="408">
        <v>5.085640230810775E-2</v>
      </c>
      <c r="G34" s="408">
        <v>-0.16479638148421366</v>
      </c>
      <c r="H34" s="408">
        <v>0.14076411432457683</v>
      </c>
      <c r="I34" s="408">
        <v>0</v>
      </c>
    </row>
    <row r="35" spans="1:9">
      <c r="A35" s="189">
        <v>2006</v>
      </c>
      <c r="B35" s="407">
        <v>-5.6927231204001338E-2</v>
      </c>
      <c r="C35" s="408">
        <v>-5.8611831991886236E-2</v>
      </c>
      <c r="D35" s="409">
        <v>-4.9899642530210751E-2</v>
      </c>
      <c r="E35" s="409">
        <v>-5.9290432057376177E-2</v>
      </c>
      <c r="F35" s="408">
        <v>1.6334087468424897E-2</v>
      </c>
      <c r="G35" s="408">
        <v>9.3907895271651085E-3</v>
      </c>
      <c r="H35" s="408">
        <v>9.4839514423219112E-2</v>
      </c>
      <c r="I35" s="408">
        <v>0</v>
      </c>
    </row>
    <row r="36" spans="1:9">
      <c r="A36" s="189">
        <v>2007</v>
      </c>
      <c r="B36" s="407">
        <v>-1.6379289986085177E-2</v>
      </c>
      <c r="C36" s="408">
        <v>-1.6514913540577505E-2</v>
      </c>
      <c r="D36" s="409">
        <v>2.0536893504092081E-2</v>
      </c>
      <c r="E36" s="409">
        <v>-1.9473243235769554E-2</v>
      </c>
      <c r="F36" s="408">
        <v>4.8656431170160629E-2</v>
      </c>
      <c r="G36" s="408">
        <v>4.0010136739861653E-2</v>
      </c>
      <c r="H36" s="408">
        <v>-8.4717515772276791E-2</v>
      </c>
      <c r="I36" s="408">
        <v>0</v>
      </c>
    </row>
    <row r="37" spans="1:9">
      <c r="A37" s="189">
        <v>2008</v>
      </c>
      <c r="B37" s="407">
        <v>-2.7086022422883493E-2</v>
      </c>
      <c r="C37" s="408">
        <v>-2.7459610183291721E-2</v>
      </c>
      <c r="D37" s="409">
        <v>3.7843046216336287E-2</v>
      </c>
      <c r="E37" s="409">
        <v>-3.2971305353923452E-2</v>
      </c>
      <c r="F37" s="410">
        <v>5.715585247407032E-3</v>
      </c>
      <c r="G37" s="408">
        <v>7.0814351570259892E-2</v>
      </c>
      <c r="H37" s="408">
        <v>-0.30850888221278422</v>
      </c>
      <c r="I37" s="408">
        <v>0</v>
      </c>
    </row>
    <row r="38" spans="1:9">
      <c r="A38" s="189">
        <v>2009</v>
      </c>
      <c r="B38" s="407">
        <v>-2.0359754555904219E-3</v>
      </c>
      <c r="C38" s="408">
        <v>-2.0380508710934526E-3</v>
      </c>
      <c r="D38" s="409">
        <v>0.16764567247437001</v>
      </c>
      <c r="E38" s="409">
        <v>-1.8338406107842164E-2</v>
      </c>
      <c r="F38" s="410">
        <v>6.6183592646974224E-2</v>
      </c>
      <c r="G38" s="408">
        <v>0.18598407858221208</v>
      </c>
      <c r="H38" s="408">
        <v>-0.42654573383704397</v>
      </c>
      <c r="I38" s="408">
        <v>0</v>
      </c>
    </row>
    <row r="39" spans="1:9">
      <c r="A39" s="189">
        <v>2010</v>
      </c>
      <c r="B39" s="407">
        <v>8.8722147591663747E-2</v>
      </c>
      <c r="C39" s="408">
        <v>8.5004666851989916E-2</v>
      </c>
      <c r="D39" s="409">
        <v>0.13910013175517094</v>
      </c>
      <c r="E39" s="409">
        <v>7.9134353054077011E-2</v>
      </c>
      <c r="F39" s="410">
        <v>1.2272159994592635E-2</v>
      </c>
      <c r="G39" s="408">
        <v>5.9965778701094034E-2</v>
      </c>
      <c r="H39" s="408">
        <v>-9.1955847541940083E-2</v>
      </c>
      <c r="I39" s="408">
        <v>0</v>
      </c>
    </row>
    <row r="40" spans="1:9">
      <c r="A40" s="189">
        <v>2011</v>
      </c>
      <c r="B40" s="407">
        <v>1.2187211199547132E-2</v>
      </c>
      <c r="C40" s="408">
        <v>1.2113545060392823E-2</v>
      </c>
      <c r="D40" s="409">
        <v>3.1972472717111351E-2</v>
      </c>
      <c r="E40" s="409">
        <v>9.868463111528095E-3</v>
      </c>
      <c r="F40" s="410">
        <v>2.8654470047896979E-3</v>
      </c>
      <c r="G40" s="408">
        <v>2.2104009605583109E-2</v>
      </c>
      <c r="H40" s="408">
        <v>4.2867973462679676E-2</v>
      </c>
      <c r="I40" s="408">
        <v>0</v>
      </c>
    </row>
    <row r="41" spans="1:9">
      <c r="A41" s="189">
        <v>2012</v>
      </c>
      <c r="B41" s="407">
        <v>4.7098620347855613E-2</v>
      </c>
      <c r="C41" s="408">
        <v>4.6023120716920343E-2</v>
      </c>
      <c r="D41" s="409">
        <v>0.12689150441795097</v>
      </c>
      <c r="E41" s="409">
        <v>3.6348683509051259E-2</v>
      </c>
      <c r="F41" s="410">
        <v>2.5144897654671868E-2</v>
      </c>
      <c r="G41" s="408">
        <v>9.0542820908899549E-2</v>
      </c>
      <c r="H41" s="408">
        <v>0.12321216789783827</v>
      </c>
      <c r="I41" s="408">
        <v>0</v>
      </c>
    </row>
    <row r="42" spans="1:9">
      <c r="A42" s="189">
        <v>2013</v>
      </c>
      <c r="B42" s="407">
        <v>3.5797043660033001E-3</v>
      </c>
      <c r="C42" s="408">
        <v>3.5733124738437389E-3</v>
      </c>
      <c r="D42" s="409">
        <v>0.12604348905703305</v>
      </c>
      <c r="E42" s="409">
        <v>-1.286479506529759E-2</v>
      </c>
      <c r="F42" s="410">
        <v>7.0658592578031226E-2</v>
      </c>
      <c r="G42" s="408">
        <v>0.13890828412233081</v>
      </c>
      <c r="H42" s="408">
        <v>0.15107800459787182</v>
      </c>
      <c r="I42" s="408">
        <v>0</v>
      </c>
    </row>
    <row r="43" spans="1:9">
      <c r="A43" s="189">
        <v>2014</v>
      </c>
      <c r="B43" s="407">
        <v>1.6293829330897847E-3</v>
      </c>
      <c r="C43" s="408">
        <v>1.6280569289021166E-3</v>
      </c>
      <c r="D43" s="409">
        <v>4.1340811712970403E-2</v>
      </c>
      <c r="E43" s="409">
        <v>-4.2140375632685918E-3</v>
      </c>
      <c r="F43" s="410">
        <v>2.6682695491357785E-3</v>
      </c>
      <c r="G43" s="408">
        <v>4.5554849276239283E-2</v>
      </c>
      <c r="H43" s="408">
        <v>0.17782403419613385</v>
      </c>
      <c r="I43" s="408">
        <v>0</v>
      </c>
    </row>
    <row r="44" spans="1:9">
      <c r="A44" s="189">
        <v>2015</v>
      </c>
      <c r="B44" s="411">
        <v>-1.3895992906874266E-2</v>
      </c>
      <c r="C44" s="410">
        <v>-1.3993446075266079E-2</v>
      </c>
      <c r="D44" s="412">
        <v>6.191145869147362E-3</v>
      </c>
      <c r="E44" s="412">
        <v>-1.7066571438213794E-2</v>
      </c>
      <c r="F44" s="410">
        <v>2.4583554819810277E-3</v>
      </c>
      <c r="G44" s="408">
        <v>2.325771730736054E-2</v>
      </c>
      <c r="H44" s="408">
        <v>0.19344920357403789</v>
      </c>
      <c r="I44" s="408">
        <v>0</v>
      </c>
    </row>
    <row r="45" spans="1:9">
      <c r="A45" s="189">
        <v>2016</v>
      </c>
      <c r="B45" s="411">
        <v>-2.6148828324440654E-2</v>
      </c>
      <c r="C45" s="410">
        <v>-2.6496788169344223E-2</v>
      </c>
      <c r="D45" s="412">
        <v>5.3577637993047572E-2</v>
      </c>
      <c r="E45" s="412">
        <v>-3.9421018398022582E-2</v>
      </c>
      <c r="F45" s="410">
        <v>4.3417132363153957E-3</v>
      </c>
      <c r="G45" s="408">
        <v>9.2998656391070467E-2</v>
      </c>
      <c r="H45" s="408">
        <v>0.12387808193996042</v>
      </c>
      <c r="I45" s="408">
        <v>0</v>
      </c>
    </row>
    <row r="46" spans="1:9">
      <c r="A46" s="189">
        <v>2017</v>
      </c>
      <c r="B46" s="411">
        <v>-2.0699821578098465E-2</v>
      </c>
      <c r="C46" s="410">
        <v>-2.0917066062101947E-2</v>
      </c>
      <c r="D46" s="412">
        <v>-8.2936727119897191E-2</v>
      </c>
      <c r="E46" s="412">
        <v>-1.0803000771123349E-2</v>
      </c>
      <c r="F46" s="410">
        <v>4.0775999793309882E-3</v>
      </c>
      <c r="G46" s="408">
        <v>-7.2133726348774074E-2</v>
      </c>
      <c r="H46" s="408">
        <v>0.13649923613334675</v>
      </c>
      <c r="I46" s="408">
        <v>0</v>
      </c>
    </row>
    <row r="47" spans="1:9">
      <c r="A47" s="189">
        <v>2018</v>
      </c>
      <c r="B47" s="411">
        <v>-1.0052521951113613E-2</v>
      </c>
      <c r="C47" s="410">
        <v>-1.0103389736706152E-2</v>
      </c>
      <c r="D47" s="412">
        <v>-5.2518375108402841E-2</v>
      </c>
      <c r="E47" s="412">
        <v>-3.5932228566419519E-3</v>
      </c>
      <c r="F47" s="410">
        <v>3.4132840345020721E-3</v>
      </c>
      <c r="G47" s="408">
        <v>-4.8925152251760771E-2</v>
      </c>
      <c r="H47" s="408">
        <v>0.11947568579479798</v>
      </c>
      <c r="I47" s="408">
        <v>0</v>
      </c>
    </row>
    <row r="48" spans="1:9">
      <c r="A48" s="196" t="s">
        <v>548</v>
      </c>
      <c r="B48" s="413">
        <v>8.892517986465176E-4</v>
      </c>
      <c r="C48" s="414">
        <v>8.8885664850711632E-4</v>
      </c>
      <c r="D48" s="415">
        <v>7.5644975305506734E-2</v>
      </c>
      <c r="E48" s="415">
        <v>-1.1973070021614079E-2</v>
      </c>
      <c r="F48" s="414">
        <v>3.9940917700117106E-3</v>
      </c>
      <c r="G48" s="415">
        <v>8.7618045327120878E-2</v>
      </c>
      <c r="H48" s="414">
        <v>5.349418430654776E-2</v>
      </c>
      <c r="I48" s="414">
        <v>0</v>
      </c>
    </row>
    <row r="49" spans="1:9" ht="13">
      <c r="A49" s="197">
        <v>2020</v>
      </c>
      <c r="B49" s="416">
        <v>-0.11124439675065934</v>
      </c>
      <c r="C49" s="417">
        <v>-0.11793299324395223</v>
      </c>
      <c r="D49" s="418">
        <v>-0.11793299324395211</v>
      </c>
      <c r="E49" s="418">
        <v>-0.11793299324395209</v>
      </c>
      <c r="F49" s="417">
        <v>3.6534158997153648E-3</v>
      </c>
      <c r="G49" s="418">
        <v>0</v>
      </c>
      <c r="H49" s="419">
        <v>-0.9248967385726059</v>
      </c>
      <c r="I49" s="419">
        <v>0</v>
      </c>
    </row>
    <row r="50" spans="1:9" ht="13">
      <c r="A50" s="193">
        <v>2021</v>
      </c>
      <c r="B50" s="420">
        <v>2.4315705300673285E-2</v>
      </c>
      <c r="C50" s="421">
        <v>2.4024785058489189E-2</v>
      </c>
      <c r="D50" s="422">
        <v>2.4024785058489189E-2</v>
      </c>
      <c r="E50" s="422">
        <v>2.4024785058489085E-2</v>
      </c>
      <c r="F50" s="421">
        <v>3.6550518642927674E-3</v>
      </c>
      <c r="G50" s="422">
        <v>0</v>
      </c>
      <c r="H50" s="423">
        <v>0.40693022377054394</v>
      </c>
      <c r="I50" s="423">
        <v>0</v>
      </c>
    </row>
    <row r="51" spans="1:9" ht="13">
      <c r="A51" s="193">
        <v>2022</v>
      </c>
      <c r="B51" s="420">
        <v>1.1650068275790515E-2</v>
      </c>
      <c r="C51" s="421">
        <v>1.1582728732601636E-2</v>
      </c>
      <c r="D51" s="422">
        <v>1.1582728732601636E-2</v>
      </c>
      <c r="E51" s="422">
        <v>1.1582728732601692E-2</v>
      </c>
      <c r="F51" s="421">
        <v>3.6550518642927674E-3</v>
      </c>
      <c r="G51" s="422">
        <v>0</v>
      </c>
      <c r="H51" s="423">
        <v>0.29020044484254032</v>
      </c>
      <c r="I51" s="423">
        <v>0</v>
      </c>
    </row>
    <row r="52" spans="1:9" ht="13">
      <c r="A52" s="193">
        <v>2023</v>
      </c>
      <c r="B52" s="420">
        <v>3.4615014189245397E-3</v>
      </c>
      <c r="C52" s="421">
        <v>3.4555242123225252E-3</v>
      </c>
      <c r="D52" s="422">
        <v>3.4555242123225252E-3</v>
      </c>
      <c r="E52" s="422">
        <v>3.4555242123224771E-3</v>
      </c>
      <c r="F52" s="421">
        <v>3.6550518642927674E-3</v>
      </c>
      <c r="G52" s="422">
        <v>0</v>
      </c>
      <c r="H52" s="423">
        <v>0.21395205292833619</v>
      </c>
      <c r="I52" s="423">
        <v>0</v>
      </c>
    </row>
    <row r="53" spans="1:9">
      <c r="A53" s="186"/>
      <c r="B53" s="186"/>
      <c r="C53" s="186"/>
      <c r="D53" s="186"/>
      <c r="E53" s="186"/>
      <c r="F53" s="198"/>
      <c r="G53" s="186"/>
      <c r="H53" s="186"/>
      <c r="I53" s="186"/>
    </row>
    <row r="54" spans="1:9" ht="13">
      <c r="A54" s="186"/>
      <c r="B54" s="186"/>
      <c r="C54" s="199" t="s">
        <v>192</v>
      </c>
      <c r="D54" s="186"/>
      <c r="E54" s="186"/>
      <c r="F54" s="186"/>
      <c r="G54" s="186"/>
      <c r="H54" s="186"/>
      <c r="I54" s="186"/>
    </row>
    <row r="55" spans="1:9">
      <c r="A55" s="189"/>
      <c r="B55" s="35"/>
      <c r="C55" s="186" t="s">
        <v>193</v>
      </c>
      <c r="D55" s="186"/>
      <c r="E55" s="194">
        <v>-0.02</v>
      </c>
      <c r="F55" s="200"/>
      <c r="G55" s="200"/>
      <c r="H55" s="186"/>
      <c r="I55" s="189"/>
    </row>
    <row r="56" spans="1:9">
      <c r="A56" s="189"/>
      <c r="B56" s="35"/>
      <c r="C56" s="186" t="s">
        <v>194</v>
      </c>
      <c r="D56" s="186"/>
      <c r="E56" s="194">
        <v>3.8562493572603398E-2</v>
      </c>
      <c r="F56" s="186"/>
      <c r="G56" s="186"/>
      <c r="H56" s="189"/>
      <c r="I56" s="189"/>
    </row>
    <row r="57" spans="1:9" ht="13">
      <c r="A57" s="189"/>
      <c r="B57" s="201"/>
      <c r="C57" s="186" t="s">
        <v>195</v>
      </c>
      <c r="D57" s="186"/>
      <c r="E57" s="194">
        <v>0.57440599327911601</v>
      </c>
      <c r="F57" s="186"/>
      <c r="G57" s="186"/>
      <c r="H57" s="189"/>
      <c r="I57" s="189"/>
    </row>
    <row r="58" spans="1:9" ht="13">
      <c r="A58" s="189"/>
      <c r="B58" s="201"/>
      <c r="C58" s="186" t="s">
        <v>196</v>
      </c>
      <c r="D58" s="186"/>
      <c r="E58" s="202">
        <v>41</v>
      </c>
      <c r="F58" s="186"/>
      <c r="G58" s="186"/>
      <c r="H58" s="189"/>
      <c r="I58" s="189"/>
    </row>
    <row r="59" spans="1:9" ht="13">
      <c r="A59" s="189"/>
      <c r="B59" s="201"/>
      <c r="C59" s="186" t="s">
        <v>197</v>
      </c>
      <c r="D59" s="186"/>
      <c r="E59" s="202">
        <v>36</v>
      </c>
      <c r="F59" s="186"/>
      <c r="G59" s="186"/>
      <c r="H59" s="186"/>
      <c r="I59" s="186"/>
    </row>
    <row r="60" spans="1:9">
      <c r="A60" s="186"/>
      <c r="B60" s="186"/>
      <c r="C60" s="186"/>
      <c r="D60" s="186"/>
      <c r="E60" s="186"/>
      <c r="F60" s="186"/>
      <c r="G60" s="186"/>
      <c r="H60" s="186"/>
      <c r="I60" s="186"/>
    </row>
    <row r="61" spans="1:9">
      <c r="A61" s="186"/>
      <c r="B61" s="186"/>
      <c r="C61" s="186" t="s">
        <v>198</v>
      </c>
      <c r="D61" s="186"/>
      <c r="E61" s="186"/>
      <c r="F61" s="194">
        <v>0.17802427700668225</v>
      </c>
      <c r="G61" s="194">
        <v>0.27661528964043985</v>
      </c>
      <c r="H61" s="194">
        <v>0.10658853670545695</v>
      </c>
      <c r="I61" s="194">
        <v>-0.14393150244274835</v>
      </c>
    </row>
    <row r="62" spans="1:9">
      <c r="A62" s="186"/>
      <c r="B62" s="186"/>
      <c r="C62" s="186" t="s">
        <v>199</v>
      </c>
      <c r="D62" s="186"/>
      <c r="E62" s="186"/>
      <c r="F62" s="194">
        <v>7.0257582389859408E-2</v>
      </c>
      <c r="G62" s="194">
        <v>5.9300828135838396E-2</v>
      </c>
      <c r="H62" s="194">
        <v>4.2173207662913839E-2</v>
      </c>
      <c r="I62" s="194">
        <v>7.3765571918340725E-2</v>
      </c>
    </row>
    <row r="63" spans="1:9">
      <c r="A63" s="186"/>
      <c r="B63" s="186"/>
      <c r="C63" s="186"/>
      <c r="D63" s="186"/>
      <c r="E63" s="186"/>
      <c r="F63" s="186"/>
      <c r="G63" s="186"/>
      <c r="H63" s="186"/>
      <c r="I63" s="186"/>
    </row>
    <row r="64" spans="1:9">
      <c r="A64" s="186" t="s">
        <v>200</v>
      </c>
      <c r="B64" s="186"/>
      <c r="C64" s="186"/>
      <c r="D64" s="186"/>
      <c r="E64" s="186"/>
      <c r="F64" s="186"/>
      <c r="G64" s="186"/>
      <c r="H64" s="186"/>
      <c r="I64" s="186"/>
    </row>
    <row r="65" spans="1:9">
      <c r="A65" s="186" t="s">
        <v>247</v>
      </c>
      <c r="B65" s="186"/>
      <c r="C65" s="186"/>
      <c r="D65" s="186"/>
      <c r="E65" s="186"/>
      <c r="F65" s="186"/>
      <c r="G65" s="186"/>
      <c r="H65" s="186"/>
      <c r="I65" s="186"/>
    </row>
    <row r="66" spans="1:9">
      <c r="A66" s="186" t="s">
        <v>248</v>
      </c>
      <c r="B66" s="186"/>
      <c r="C66" s="186"/>
      <c r="D66" s="186"/>
      <c r="E66" s="186"/>
      <c r="F66" s="186"/>
      <c r="G66" s="186"/>
      <c r="H66" s="186"/>
      <c r="I66" s="186"/>
    </row>
    <row r="67" spans="1:9">
      <c r="A67" s="186" t="s">
        <v>249</v>
      </c>
      <c r="B67" s="186"/>
      <c r="C67" s="186"/>
      <c r="D67" s="186"/>
      <c r="E67" s="186"/>
      <c r="F67" s="186"/>
      <c r="G67" s="186"/>
      <c r="H67" s="186"/>
      <c r="I67" s="186"/>
    </row>
    <row r="68" spans="1:9">
      <c r="A68" s="186" t="s">
        <v>250</v>
      </c>
      <c r="B68" s="186"/>
      <c r="C68" s="186"/>
      <c r="D68" s="186"/>
      <c r="E68" s="186"/>
      <c r="F68" s="186"/>
      <c r="G68" s="186"/>
      <c r="H68" s="186"/>
      <c r="I68" s="186"/>
    </row>
    <row r="69" spans="1:9">
      <c r="A69" s="186" t="s">
        <v>251</v>
      </c>
      <c r="B69" s="186"/>
      <c r="C69" s="186"/>
      <c r="D69" s="186"/>
      <c r="E69" s="186"/>
      <c r="F69" s="186"/>
      <c r="G69" s="186"/>
      <c r="H69" s="186"/>
      <c r="I69" s="186"/>
    </row>
    <row r="70" spans="1:9">
      <c r="A70" s="186" t="s">
        <v>551</v>
      </c>
      <c r="B70" s="186"/>
      <c r="C70" s="186"/>
      <c r="D70" s="186"/>
      <c r="E70" s="186"/>
      <c r="F70" s="186"/>
      <c r="G70" s="186"/>
      <c r="H70" s="186"/>
      <c r="I70" s="186"/>
    </row>
    <row r="71" spans="1:9">
      <c r="A71" s="186" t="s">
        <v>552</v>
      </c>
      <c r="B71" s="186"/>
      <c r="C71" s="186"/>
      <c r="D71" s="186"/>
      <c r="E71" s="186"/>
      <c r="F71" s="186"/>
      <c r="G71" s="186"/>
      <c r="H71" s="186"/>
      <c r="I71" s="186"/>
    </row>
    <row r="72" spans="1:9">
      <c r="A72" s="186" t="s">
        <v>252</v>
      </c>
      <c r="B72" s="186"/>
      <c r="C72" s="186"/>
      <c r="D72" s="186"/>
      <c r="E72" s="186"/>
      <c r="F72" s="186"/>
      <c r="G72" s="186"/>
      <c r="H72" s="186"/>
      <c r="I72" s="186"/>
    </row>
    <row r="73" spans="1:9">
      <c r="A73" s="186" t="s">
        <v>253</v>
      </c>
      <c r="B73" s="186"/>
      <c r="C73" s="186"/>
      <c r="D73" s="186"/>
      <c r="E73" s="186"/>
      <c r="F73" s="186"/>
      <c r="G73" s="186"/>
      <c r="H73" s="186"/>
      <c r="I73" s="186"/>
    </row>
    <row r="74" spans="1:9">
      <c r="A74" s="186" t="s">
        <v>254</v>
      </c>
      <c r="B74" s="186"/>
      <c r="C74" s="186"/>
      <c r="D74" s="186"/>
      <c r="E74" s="186"/>
      <c r="F74" s="186"/>
      <c r="G74" s="186"/>
      <c r="H74" s="186"/>
      <c r="I74" s="186"/>
    </row>
    <row r="75" spans="1:9">
      <c r="A75" s="186" t="s">
        <v>553</v>
      </c>
      <c r="B75" s="186"/>
      <c r="C75" s="186"/>
      <c r="D75" s="186"/>
      <c r="E75" s="186"/>
      <c r="F75" s="186"/>
      <c r="G75" s="186"/>
      <c r="H75" s="186"/>
      <c r="I75" s="186"/>
    </row>
  </sheetData>
  <printOptions horizontalCentered="1"/>
  <pageMargins left="0.5" right="0.5" top="0.75" bottom="0.75" header="0.33" footer="0.33"/>
  <pageSetup scale="61" orientation="portrait" blackAndWhite="1" horizontalDpi="1200" verticalDpi="1200" r:id="rId1"/>
  <headerFooter scaleWithDoc="0">
    <oddHeader>&amp;R&amp;"Arial,Regular"&amp;10Exhibit 6.1</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6"/>
  <dimension ref="A1:M51"/>
  <sheetViews>
    <sheetView workbookViewId="0"/>
  </sheetViews>
  <sheetFormatPr defaultColWidth="9.1796875" defaultRowHeight="12.5"/>
  <cols>
    <col min="1" max="1" width="4" style="108" customWidth="1"/>
    <col min="2" max="2" width="9.1796875" style="108"/>
    <col min="3" max="3" width="5" style="108" customWidth="1"/>
    <col min="4" max="4" width="9.1796875" style="108"/>
    <col min="5" max="5" width="5" style="108" customWidth="1"/>
    <col min="6" max="6" width="9.1796875" style="108"/>
    <col min="7" max="7" width="5" style="108" customWidth="1"/>
    <col min="8" max="8" width="9.1796875" style="108"/>
    <col min="9" max="9" width="5" style="108" customWidth="1"/>
    <col min="10" max="10" width="9.1796875" style="108"/>
    <col min="11" max="11" width="5" style="108" customWidth="1"/>
    <col min="12" max="12" width="9.1796875" style="108"/>
    <col min="13" max="13" width="4" style="108" customWidth="1"/>
    <col min="14" max="16384" width="9.1796875" style="108"/>
  </cols>
  <sheetData>
    <row r="1" spans="1:13" ht="13">
      <c r="A1" s="245" t="s">
        <v>201</v>
      </c>
      <c r="B1" s="245"/>
      <c r="C1" s="245"/>
      <c r="D1" s="245"/>
      <c r="E1" s="245"/>
      <c r="F1" s="245"/>
      <c r="G1" s="245"/>
      <c r="H1" s="245"/>
      <c r="I1" s="245"/>
      <c r="J1" s="245"/>
      <c r="K1" s="245"/>
      <c r="L1" s="245"/>
      <c r="M1" s="245"/>
    </row>
    <row r="2" spans="1:13" ht="13">
      <c r="A2" s="245" t="s">
        <v>525</v>
      </c>
      <c r="B2" s="245"/>
      <c r="C2" s="245"/>
      <c r="D2" s="245"/>
      <c r="E2" s="245"/>
      <c r="F2" s="245"/>
      <c r="G2" s="245"/>
      <c r="H2" s="245"/>
      <c r="I2" s="245"/>
      <c r="J2" s="245"/>
      <c r="K2" s="245"/>
      <c r="L2" s="245"/>
      <c r="M2" s="245"/>
    </row>
    <row r="3" spans="1:13">
      <c r="A3" s="10"/>
      <c r="B3" s="10"/>
      <c r="C3" s="10"/>
      <c r="D3" s="10"/>
      <c r="E3" s="10"/>
      <c r="F3" s="10"/>
      <c r="G3" s="10"/>
      <c r="H3" s="10"/>
      <c r="I3" s="10"/>
      <c r="J3" s="10"/>
      <c r="K3" s="10"/>
      <c r="L3" s="10"/>
      <c r="M3" s="10"/>
    </row>
    <row r="4" spans="1:13">
      <c r="A4" s="10"/>
      <c r="B4" s="10"/>
      <c r="C4" s="10"/>
      <c r="D4" s="27" t="s">
        <v>45</v>
      </c>
      <c r="E4" s="27"/>
      <c r="F4" s="27" t="s">
        <v>46</v>
      </c>
      <c r="G4" s="27"/>
      <c r="H4" s="27" t="s">
        <v>47</v>
      </c>
      <c r="I4" s="27"/>
      <c r="J4" s="27" t="s">
        <v>48</v>
      </c>
      <c r="K4" s="27"/>
      <c r="L4" s="27" t="s">
        <v>50</v>
      </c>
      <c r="M4" s="27"/>
    </row>
    <row r="5" spans="1:13">
      <c r="A5" s="10"/>
      <c r="B5" s="10"/>
      <c r="C5" s="10"/>
      <c r="D5" s="122" t="s">
        <v>202</v>
      </c>
      <c r="E5" s="122"/>
      <c r="F5" s="122"/>
      <c r="G5" s="10"/>
      <c r="H5" s="122" t="s">
        <v>3</v>
      </c>
      <c r="I5" s="10"/>
      <c r="J5" s="122" t="s">
        <v>55</v>
      </c>
      <c r="K5" s="122"/>
      <c r="L5" s="122"/>
      <c r="M5" s="122"/>
    </row>
    <row r="6" spans="1:13">
      <c r="A6" s="10"/>
      <c r="B6" s="122" t="s">
        <v>203</v>
      </c>
      <c r="C6" s="10"/>
      <c r="D6" s="122" t="s">
        <v>55</v>
      </c>
      <c r="E6" s="122"/>
      <c r="F6" s="122" t="s">
        <v>63</v>
      </c>
      <c r="G6" s="10"/>
      <c r="H6" s="122" t="s">
        <v>142</v>
      </c>
      <c r="I6" s="10"/>
      <c r="J6" s="122" t="s">
        <v>119</v>
      </c>
      <c r="K6" s="122"/>
      <c r="L6" s="122" t="s">
        <v>63</v>
      </c>
      <c r="M6" s="122"/>
    </row>
    <row r="7" spans="1:13">
      <c r="A7" s="10"/>
      <c r="B7" s="26" t="s">
        <v>8</v>
      </c>
      <c r="C7" s="65"/>
      <c r="D7" s="26" t="s">
        <v>204</v>
      </c>
      <c r="E7" s="26"/>
      <c r="F7" s="26" t="s">
        <v>205</v>
      </c>
      <c r="G7" s="65"/>
      <c r="H7" s="26" t="s">
        <v>207</v>
      </c>
      <c r="I7" s="65"/>
      <c r="J7" s="26" t="s">
        <v>204</v>
      </c>
      <c r="K7" s="26"/>
      <c r="L7" s="26" t="s">
        <v>205</v>
      </c>
      <c r="M7" s="26"/>
    </row>
    <row r="8" spans="1:13">
      <c r="A8" s="10"/>
      <c r="B8" s="10"/>
      <c r="C8" s="10"/>
      <c r="D8" s="73"/>
      <c r="E8" s="73"/>
      <c r="F8" s="73"/>
      <c r="G8" s="10"/>
      <c r="H8" s="57"/>
      <c r="I8" s="10"/>
      <c r="J8" s="74" t="s">
        <v>206</v>
      </c>
      <c r="K8" s="74"/>
      <c r="L8" s="122"/>
      <c r="M8" s="122"/>
    </row>
    <row r="9" spans="1:13">
      <c r="A9" s="10"/>
      <c r="B9" s="10"/>
      <c r="C9" s="10"/>
      <c r="D9" s="73"/>
      <c r="E9" s="73"/>
      <c r="F9" s="73"/>
      <c r="G9" s="10"/>
      <c r="H9" s="57"/>
      <c r="I9" s="10"/>
      <c r="J9" s="122"/>
      <c r="K9" s="122"/>
      <c r="L9" s="122"/>
      <c r="M9" s="122"/>
    </row>
    <row r="10" spans="1:13">
      <c r="A10" s="10"/>
      <c r="B10" s="154">
        <v>1990</v>
      </c>
      <c r="C10" s="10"/>
      <c r="D10" s="365">
        <v>9972.5243215789615</v>
      </c>
      <c r="E10" s="73"/>
      <c r="F10" s="75" t="s">
        <v>32</v>
      </c>
      <c r="G10" s="10"/>
      <c r="H10" s="426">
        <v>1.9798731455233429</v>
      </c>
      <c r="I10" s="10"/>
      <c r="J10" s="73">
        <f t="shared" ref="J10:J34" si="0">+D10*H10</f>
        <v>19744.333097372579</v>
      </c>
      <c r="K10" s="73"/>
      <c r="L10" s="75" t="s">
        <v>32</v>
      </c>
      <c r="M10" s="75"/>
    </row>
    <row r="11" spans="1:13">
      <c r="A11" s="10"/>
      <c r="B11" s="154">
        <f>B10+1</f>
        <v>1991</v>
      </c>
      <c r="C11" s="10"/>
      <c r="D11" s="365">
        <v>10901.821947182971</v>
      </c>
      <c r="E11" s="73"/>
      <c r="F11" s="50">
        <f t="shared" ref="F11:F34" si="1">+D11/D10-1</f>
        <v>9.3185796859192038E-2</v>
      </c>
      <c r="G11" s="10"/>
      <c r="H11" s="426">
        <v>1.8724116936040212</v>
      </c>
      <c r="I11" s="10"/>
      <c r="J11" s="73">
        <f t="shared" si="0"/>
        <v>20412.698895494355</v>
      </c>
      <c r="K11" s="73"/>
      <c r="L11" s="50">
        <f t="shared" ref="L11:L34" si="2">+J11/J10-1</f>
        <v>3.3851019167151275E-2</v>
      </c>
      <c r="M11" s="50"/>
    </row>
    <row r="12" spans="1:13">
      <c r="A12" s="10"/>
      <c r="B12" s="177">
        <f t="shared" ref="B12:B40" si="3">B11+1</f>
        <v>1992</v>
      </c>
      <c r="C12" s="10"/>
      <c r="D12" s="365">
        <v>10999.75069505632</v>
      </c>
      <c r="E12" s="73"/>
      <c r="F12" s="50">
        <f t="shared" si="1"/>
        <v>8.9827873127807933E-3</v>
      </c>
      <c r="G12" s="10"/>
      <c r="H12" s="426">
        <v>1.8103387969347231</v>
      </c>
      <c r="I12" s="10"/>
      <c r="J12" s="73">
        <f t="shared" si="0"/>
        <v>19913.275439870144</v>
      </c>
      <c r="K12" s="73"/>
      <c r="L12" s="50">
        <f t="shared" si="2"/>
        <v>-2.4466311788611583E-2</v>
      </c>
      <c r="M12" s="50"/>
    </row>
    <row r="13" spans="1:13">
      <c r="A13" s="10"/>
      <c r="B13" s="177">
        <f t="shared" si="3"/>
        <v>1993</v>
      </c>
      <c r="C13" s="10"/>
      <c r="D13" s="365">
        <v>11958.084521442335</v>
      </c>
      <c r="E13" s="73"/>
      <c r="F13" s="50">
        <f t="shared" si="1"/>
        <v>8.7123231512576504E-2</v>
      </c>
      <c r="G13" s="10"/>
      <c r="H13" s="426">
        <v>1.7995272372930664</v>
      </c>
      <c r="I13" s="10"/>
      <c r="J13" s="73">
        <f t="shared" si="0"/>
        <v>21518.898802188105</v>
      </c>
      <c r="K13" s="73"/>
      <c r="L13" s="50">
        <f t="shared" si="2"/>
        <v>8.0630801656225826E-2</v>
      </c>
      <c r="M13" s="50"/>
    </row>
    <row r="14" spans="1:13">
      <c r="A14" s="10"/>
      <c r="B14" s="177">
        <f t="shared" si="3"/>
        <v>1994</v>
      </c>
      <c r="C14" s="10"/>
      <c r="D14" s="365">
        <v>12881.254176171946</v>
      </c>
      <c r="E14" s="73"/>
      <c r="F14" s="50">
        <f t="shared" si="1"/>
        <v>7.7200462421406435E-2</v>
      </c>
      <c r="G14" s="10"/>
      <c r="H14" s="426">
        <v>1.8849256801583194</v>
      </c>
      <c r="I14" s="10"/>
      <c r="J14" s="73">
        <f t="shared" si="0"/>
        <v>24280.206789313099</v>
      </c>
      <c r="K14" s="73"/>
      <c r="L14" s="50">
        <f t="shared" si="2"/>
        <v>0.12832013443198198</v>
      </c>
      <c r="M14" s="50"/>
    </row>
    <row r="15" spans="1:13">
      <c r="A15" s="10"/>
      <c r="B15" s="177">
        <f t="shared" si="3"/>
        <v>1995</v>
      </c>
      <c r="C15" s="10"/>
      <c r="D15" s="365">
        <v>14434.992156769827</v>
      </c>
      <c r="E15" s="73"/>
      <c r="F15" s="50">
        <f t="shared" si="1"/>
        <v>0.12062008554043002</v>
      </c>
      <c r="G15" s="10"/>
      <c r="H15" s="426">
        <v>1.7556566788915358</v>
      </c>
      <c r="I15" s="10"/>
      <c r="J15" s="73">
        <f t="shared" si="0"/>
        <v>25342.890389779881</v>
      </c>
      <c r="K15" s="73"/>
      <c r="L15" s="50">
        <f t="shared" si="2"/>
        <v>4.3767485577368426E-2</v>
      </c>
      <c r="M15" s="50"/>
    </row>
    <row r="16" spans="1:13">
      <c r="A16" s="10"/>
      <c r="B16" s="177">
        <f t="shared" si="3"/>
        <v>1996</v>
      </c>
      <c r="C16" s="10"/>
      <c r="D16" s="365">
        <v>16187.736680659</v>
      </c>
      <c r="E16" s="73"/>
      <c r="F16" s="50">
        <f t="shared" si="1"/>
        <v>0.1214233097499231</v>
      </c>
      <c r="G16" s="10"/>
      <c r="H16" s="426">
        <v>1.6475200527117475</v>
      </c>
      <c r="I16" s="10"/>
      <c r="J16" s="73">
        <f t="shared" si="0"/>
        <v>26669.620789403205</v>
      </c>
      <c r="K16" s="73"/>
      <c r="L16" s="50">
        <f t="shared" si="2"/>
        <v>5.2351187225209372E-2</v>
      </c>
      <c r="M16" s="50"/>
    </row>
    <row r="17" spans="1:13">
      <c r="A17" s="10"/>
      <c r="B17" s="177">
        <f t="shared" si="3"/>
        <v>1997</v>
      </c>
      <c r="C17" s="10"/>
      <c r="D17" s="365">
        <v>19224.19873757851</v>
      </c>
      <c r="E17" s="73"/>
      <c r="F17" s="50">
        <f t="shared" si="1"/>
        <v>0.18757792499475578</v>
      </c>
      <c r="G17" s="10"/>
      <c r="H17" s="426">
        <v>1.4781903874487217</v>
      </c>
      <c r="I17" s="10"/>
      <c r="J17" s="73">
        <f t="shared" si="0"/>
        <v>28417.025780292402</v>
      </c>
      <c r="K17" s="73"/>
      <c r="L17" s="50">
        <f t="shared" si="2"/>
        <v>6.5520428831275401E-2</v>
      </c>
      <c r="M17" s="50"/>
    </row>
    <row r="18" spans="1:13">
      <c r="A18" s="10"/>
      <c r="B18" s="177">
        <f t="shared" si="3"/>
        <v>1998</v>
      </c>
      <c r="C18" s="10"/>
      <c r="D18" s="365">
        <v>21081.160033690136</v>
      </c>
      <c r="E18" s="73"/>
      <c r="F18" s="50">
        <f t="shared" si="1"/>
        <v>9.6594990587655971E-2</v>
      </c>
      <c r="G18" s="10"/>
      <c r="H18" s="426">
        <v>1.3634304467461025</v>
      </c>
      <c r="I18" s="10"/>
      <c r="J18" s="73">
        <f t="shared" si="0"/>
        <v>28742.695442660221</v>
      </c>
      <c r="K18" s="73"/>
      <c r="L18" s="50">
        <f t="shared" si="2"/>
        <v>1.1460371148119153E-2</v>
      </c>
      <c r="M18" s="50"/>
    </row>
    <row r="19" spans="1:13">
      <c r="A19" s="10"/>
      <c r="B19" s="177">
        <f t="shared" si="3"/>
        <v>1999</v>
      </c>
      <c r="C19" s="10"/>
      <c r="D19" s="365">
        <v>23086.615491791104</v>
      </c>
      <c r="E19" s="73"/>
      <c r="F19" s="50">
        <f t="shared" si="1"/>
        <v>9.5130223142180892E-2</v>
      </c>
      <c r="G19" s="10"/>
      <c r="H19" s="426">
        <v>1.2633749415038245</v>
      </c>
      <c r="I19" s="10"/>
      <c r="J19" s="73">
        <f t="shared" si="0"/>
        <v>29167.051496462875</v>
      </c>
      <c r="K19" s="73"/>
      <c r="L19" s="50">
        <f t="shared" si="2"/>
        <v>1.476396166981675E-2</v>
      </c>
      <c r="M19" s="50"/>
    </row>
    <row r="20" spans="1:13">
      <c r="A20" s="10"/>
      <c r="B20" s="177">
        <f t="shared" si="3"/>
        <v>2000</v>
      </c>
      <c r="C20" s="10"/>
      <c r="D20" s="365">
        <v>24508.723566607867</v>
      </c>
      <c r="E20" s="73"/>
      <c r="F20" s="50">
        <f t="shared" si="1"/>
        <v>6.1598811455166436E-2</v>
      </c>
      <c r="G20" s="10"/>
      <c r="H20" s="426">
        <v>1.1793916420640833</v>
      </c>
      <c r="I20" s="10"/>
      <c r="J20" s="73">
        <f t="shared" si="0"/>
        <v>28905.383732116348</v>
      </c>
      <c r="K20" s="73"/>
      <c r="L20" s="50">
        <f t="shared" si="2"/>
        <v>-8.9713478367280386E-3</v>
      </c>
      <c r="M20" s="50"/>
    </row>
    <row r="21" spans="1:13">
      <c r="A21" s="10"/>
      <c r="B21" s="177">
        <f t="shared" si="3"/>
        <v>2001</v>
      </c>
      <c r="C21" s="10"/>
      <c r="D21" s="365">
        <v>27019.085714481818</v>
      </c>
      <c r="E21" s="73"/>
      <c r="F21" s="50">
        <f t="shared" si="1"/>
        <v>0.10242729047277743</v>
      </c>
      <c r="G21" s="10"/>
      <c r="H21" s="426">
        <v>1.180579304844757</v>
      </c>
      <c r="I21" s="10"/>
      <c r="J21" s="73">
        <f t="shared" si="0"/>
        <v>31898.17343034385</v>
      </c>
      <c r="K21" s="73"/>
      <c r="L21" s="50">
        <f t="shared" si="2"/>
        <v>0.103537449146619</v>
      </c>
      <c r="M21" s="50"/>
    </row>
    <row r="22" spans="1:13">
      <c r="A22" s="10"/>
      <c r="B22" s="177">
        <f t="shared" si="3"/>
        <v>2002</v>
      </c>
      <c r="C22" s="10"/>
      <c r="D22" s="365">
        <v>26096.682464174915</v>
      </c>
      <c r="E22" s="73"/>
      <c r="F22" s="50">
        <f t="shared" si="1"/>
        <v>-3.4138951260386574E-2</v>
      </c>
      <c r="G22" s="10"/>
      <c r="H22" s="426">
        <v>1.2092434395700953</v>
      </c>
      <c r="I22" s="10"/>
      <c r="J22" s="73">
        <f t="shared" si="0"/>
        <v>31557.242064347465</v>
      </c>
      <c r="K22" s="73"/>
      <c r="L22" s="50">
        <f t="shared" si="2"/>
        <v>-1.0688115629594819E-2</v>
      </c>
      <c r="M22" s="50"/>
    </row>
    <row r="23" spans="1:13">
      <c r="A23" s="10"/>
      <c r="B23" s="177">
        <f t="shared" si="3"/>
        <v>2003</v>
      </c>
      <c r="C23" s="10"/>
      <c r="D23" s="365">
        <v>25839.914234572658</v>
      </c>
      <c r="E23" s="73"/>
      <c r="F23" s="50">
        <f t="shared" si="1"/>
        <v>-9.8391138396516364E-3</v>
      </c>
      <c r="G23" s="10"/>
      <c r="H23" s="426">
        <v>1.2055017944522015</v>
      </c>
      <c r="I23" s="10"/>
      <c r="J23" s="73">
        <f t="shared" si="0"/>
        <v>31150.062978268325</v>
      </c>
      <c r="K23" s="73"/>
      <c r="L23" s="50">
        <f t="shared" si="2"/>
        <v>-1.2902872983921565E-2</v>
      </c>
      <c r="M23" s="50"/>
    </row>
    <row r="24" spans="1:13">
      <c r="A24" s="10"/>
      <c r="B24" s="177">
        <f t="shared" si="3"/>
        <v>2004</v>
      </c>
      <c r="C24" s="10"/>
      <c r="D24" s="365">
        <v>21083.828966932877</v>
      </c>
      <c r="E24" s="73"/>
      <c r="F24" s="50">
        <f t="shared" si="1"/>
        <v>-0.18405963829695493</v>
      </c>
      <c r="G24" s="10"/>
      <c r="H24" s="426">
        <v>1.4241209685933647</v>
      </c>
      <c r="I24" s="10"/>
      <c r="J24" s="73">
        <f t="shared" si="0"/>
        <v>30025.92293004529</v>
      </c>
      <c r="K24" s="73"/>
      <c r="L24" s="50">
        <f t="shared" si="2"/>
        <v>-3.6087890063249195E-2</v>
      </c>
      <c r="M24" s="50"/>
    </row>
    <row r="25" spans="1:13">
      <c r="A25" s="10"/>
      <c r="B25" s="177">
        <f t="shared" si="3"/>
        <v>2005</v>
      </c>
      <c r="C25" s="10"/>
      <c r="D25" s="365">
        <v>19108.004314382819</v>
      </c>
      <c r="E25" s="73"/>
      <c r="F25" s="50">
        <f t="shared" si="1"/>
        <v>-9.3712800253164197E-2</v>
      </c>
      <c r="G25" s="10"/>
      <c r="H25" s="426">
        <v>1.6348246317980584</v>
      </c>
      <c r="I25" s="10"/>
      <c r="J25" s="73">
        <f t="shared" si="0"/>
        <v>31238.236117656601</v>
      </c>
      <c r="K25" s="73"/>
      <c r="L25" s="50">
        <f t="shared" si="2"/>
        <v>4.0375551167428636E-2</v>
      </c>
      <c r="M25" s="50"/>
    </row>
    <row r="26" spans="1:13">
      <c r="A26" s="10"/>
      <c r="B26" s="177">
        <f t="shared" si="3"/>
        <v>2006</v>
      </c>
      <c r="C26" s="10"/>
      <c r="D26" s="365">
        <v>20804.155938922151</v>
      </c>
      <c r="E26" s="73"/>
      <c r="F26" s="50">
        <f t="shared" si="1"/>
        <v>8.8766550218047469E-2</v>
      </c>
      <c r="G26" s="10"/>
      <c r="H26" s="426">
        <v>1.514803704669671</v>
      </c>
      <c r="I26" s="10"/>
      <c r="J26" s="73">
        <f t="shared" si="0"/>
        <v>31514.212488804813</v>
      </c>
      <c r="K26" s="73"/>
      <c r="L26" s="50">
        <f t="shared" si="2"/>
        <v>8.834569599537101E-3</v>
      </c>
      <c r="M26" s="50"/>
    </row>
    <row r="27" spans="1:13">
      <c r="A27" s="10"/>
      <c r="B27" s="177">
        <f t="shared" si="3"/>
        <v>2007</v>
      </c>
      <c r="C27" s="10"/>
      <c r="D27" s="365">
        <v>22690.987576657721</v>
      </c>
      <c r="E27" s="73"/>
      <c r="F27" s="50">
        <f t="shared" si="1"/>
        <v>9.0694938226526522E-2</v>
      </c>
      <c r="G27" s="10"/>
      <c r="H27" s="426">
        <v>1.4602825937494421</v>
      </c>
      <c r="I27" s="10"/>
      <c r="J27" s="73">
        <f t="shared" si="0"/>
        <v>33135.254193178102</v>
      </c>
      <c r="K27" s="73"/>
      <c r="L27" s="50">
        <f t="shared" si="2"/>
        <v>5.1438432895924313E-2</v>
      </c>
      <c r="M27" s="50"/>
    </row>
    <row r="28" spans="1:13">
      <c r="A28" s="10"/>
      <c r="B28" s="177">
        <f t="shared" si="3"/>
        <v>2008</v>
      </c>
      <c r="C28" s="10"/>
      <c r="D28" s="365">
        <v>24688.82963248805</v>
      </c>
      <c r="E28" s="73"/>
      <c r="F28" s="50">
        <f t="shared" si="1"/>
        <v>8.8045619393204211E-2</v>
      </c>
      <c r="G28" s="10"/>
      <c r="H28" s="426">
        <v>1.3796033876402407</v>
      </c>
      <c r="I28" s="10"/>
      <c r="J28" s="73">
        <f t="shared" si="0"/>
        <v>34060.79299785327</v>
      </c>
      <c r="K28" s="73"/>
      <c r="L28" s="50">
        <f t="shared" si="2"/>
        <v>2.7932147412519814E-2</v>
      </c>
      <c r="M28" s="50"/>
    </row>
    <row r="29" spans="1:13">
      <c r="A29" s="10"/>
      <c r="B29" s="177">
        <f t="shared" si="3"/>
        <v>2009</v>
      </c>
      <c r="C29" s="10"/>
      <c r="D29" s="365">
        <v>25835.432054179615</v>
      </c>
      <c r="E29" s="73"/>
      <c r="F29" s="50">
        <f t="shared" si="1"/>
        <v>4.6442153749675974E-2</v>
      </c>
      <c r="G29" s="10"/>
      <c r="H29" s="426">
        <v>1.3713642313383596</v>
      </c>
      <c r="I29" s="10"/>
      <c r="J29" s="73">
        <f t="shared" si="0"/>
        <v>35429.787420274442</v>
      </c>
      <c r="K29" s="73"/>
      <c r="L29" s="50">
        <f t="shared" si="2"/>
        <v>4.0192676151358464E-2</v>
      </c>
      <c r="M29" s="50"/>
    </row>
    <row r="30" spans="1:13">
      <c r="A30" s="10"/>
      <c r="B30" s="177">
        <f t="shared" si="3"/>
        <v>2010</v>
      </c>
      <c r="C30" s="10"/>
      <c r="D30" s="365">
        <v>25271.069222617625</v>
      </c>
      <c r="E30" s="73"/>
      <c r="F30" s="50">
        <f t="shared" si="1"/>
        <v>-2.1844528490116311E-2</v>
      </c>
      <c r="G30" s="10"/>
      <c r="H30" s="426">
        <v>1.3457149052444015</v>
      </c>
      <c r="I30" s="10"/>
      <c r="J30" s="73">
        <f t="shared" si="0"/>
        <v>34007.654524339589</v>
      </c>
      <c r="K30" s="73"/>
      <c r="L30" s="50">
        <f t="shared" si="2"/>
        <v>-4.0139470188326531E-2</v>
      </c>
      <c r="M30" s="50"/>
    </row>
    <row r="31" spans="1:13">
      <c r="A31" s="10"/>
      <c r="B31" s="177">
        <f t="shared" si="3"/>
        <v>2011</v>
      </c>
      <c r="C31" s="10"/>
      <c r="D31" s="365">
        <v>24933.567623763676</v>
      </c>
      <c r="E31" s="73"/>
      <c r="F31" s="50">
        <f t="shared" si="1"/>
        <v>-1.3355255999690119E-2</v>
      </c>
      <c r="G31" s="10"/>
      <c r="H31" s="426">
        <v>1.3271350150339265</v>
      </c>
      <c r="I31" s="10"/>
      <c r="J31" s="73">
        <f t="shared" si="0"/>
        <v>33090.210643213031</v>
      </c>
      <c r="K31" s="73"/>
      <c r="L31" s="50">
        <f t="shared" si="2"/>
        <v>-2.6977570019418251E-2</v>
      </c>
      <c r="M31" s="50"/>
    </row>
    <row r="32" spans="1:13">
      <c r="A32" s="10"/>
      <c r="B32" s="177">
        <f t="shared" si="3"/>
        <v>2012</v>
      </c>
      <c r="C32" s="10"/>
      <c r="D32" s="365">
        <v>24408.578692347699</v>
      </c>
      <c r="E32" s="73"/>
      <c r="F32" s="50">
        <f t="shared" si="1"/>
        <v>-2.1055507953688157E-2</v>
      </c>
      <c r="G32" s="10"/>
      <c r="H32" s="426">
        <v>1.3106958854978361</v>
      </c>
      <c r="I32" s="10"/>
      <c r="J32" s="73">
        <f t="shared" si="0"/>
        <v>31992.223662910281</v>
      </c>
      <c r="K32" s="73"/>
      <c r="L32" s="50">
        <f t="shared" si="2"/>
        <v>-3.3181625591372721E-2</v>
      </c>
      <c r="M32" s="50"/>
    </row>
    <row r="33" spans="1:13">
      <c r="A33" s="10"/>
      <c r="B33" s="177">
        <f t="shared" si="3"/>
        <v>2013</v>
      </c>
      <c r="C33" s="10"/>
      <c r="D33" s="365">
        <v>23831.173025887791</v>
      </c>
      <c r="E33" s="73"/>
      <c r="F33" s="50">
        <f t="shared" si="1"/>
        <v>-2.3655849598523737E-2</v>
      </c>
      <c r="G33" s="10"/>
      <c r="H33" s="426">
        <v>1.2843106919855651</v>
      </c>
      <c r="I33" s="10"/>
      <c r="J33" s="73">
        <f t="shared" si="0"/>
        <v>30606.630319705684</v>
      </c>
      <c r="K33" s="73"/>
      <c r="L33" s="50">
        <f t="shared" si="2"/>
        <v>-4.3310316838368612E-2</v>
      </c>
      <c r="M33" s="50"/>
    </row>
    <row r="34" spans="1:13">
      <c r="A34" s="10"/>
      <c r="B34" s="177">
        <f t="shared" si="3"/>
        <v>2014</v>
      </c>
      <c r="C34" s="10"/>
      <c r="D34" s="365">
        <v>24739.677721095581</v>
      </c>
      <c r="E34" s="73"/>
      <c r="F34" s="50">
        <f t="shared" si="1"/>
        <v>3.8122533633610178E-2</v>
      </c>
      <c r="G34" s="10"/>
      <c r="H34" s="426">
        <v>1.193766702836788</v>
      </c>
      <c r="I34" s="10"/>
      <c r="J34" s="73">
        <f t="shared" si="0"/>
        <v>29533.40350235701</v>
      </c>
      <c r="K34" s="73"/>
      <c r="L34" s="50">
        <f t="shared" si="2"/>
        <v>-3.5065173988058751E-2</v>
      </c>
      <c r="M34" s="50"/>
    </row>
    <row r="35" spans="1:13">
      <c r="A35" s="10"/>
      <c r="B35" s="177">
        <f t="shared" si="3"/>
        <v>2015</v>
      </c>
      <c r="C35" s="10"/>
      <c r="D35" s="365">
        <v>24885.530297245466</v>
      </c>
      <c r="E35" s="73"/>
      <c r="F35" s="50">
        <f>+D35/D34-1</f>
        <v>5.8954921642135893E-3</v>
      </c>
      <c r="G35" s="10"/>
      <c r="H35" s="426">
        <v>1.1767919791159291</v>
      </c>
      <c r="I35" s="10"/>
      <c r="J35" s="73">
        <f>+D35*H35</f>
        <v>29285.092449844909</v>
      </c>
      <c r="K35" s="50"/>
      <c r="L35" s="50">
        <f>+J35/J34-1</f>
        <v>-8.4078034721695172E-3</v>
      </c>
      <c r="M35" s="50"/>
    </row>
    <row r="36" spans="1:13">
      <c r="A36" s="158"/>
      <c r="B36" s="177">
        <f t="shared" si="3"/>
        <v>2016</v>
      </c>
      <c r="C36" s="158"/>
      <c r="D36" s="365">
        <v>24219.316825575508</v>
      </c>
      <c r="E36" s="73"/>
      <c r="F36" s="50">
        <f>+D36/D35-1</f>
        <v>-2.6771118144253481E-2</v>
      </c>
      <c r="G36" s="158"/>
      <c r="H36" s="426">
        <v>1.1620031648370481</v>
      </c>
      <c r="I36" s="158"/>
      <c r="J36" s="73">
        <f>+D36*H36</f>
        <v>28142.922801509911</v>
      </c>
      <c r="K36" s="50"/>
      <c r="L36" s="50">
        <f>+J36/J35-1</f>
        <v>-3.9001742961581432E-2</v>
      </c>
      <c r="M36" s="50"/>
    </row>
    <row r="37" spans="1:13">
      <c r="A37" s="204"/>
      <c r="B37" s="206">
        <f t="shared" si="3"/>
        <v>2017</v>
      </c>
      <c r="C37" s="204"/>
      <c r="D37" s="365">
        <v>24209.473941085427</v>
      </c>
      <c r="E37" s="73"/>
      <c r="F37" s="50">
        <f>+D37/D36-1</f>
        <v>-4.064063640178972E-4</v>
      </c>
      <c r="G37" s="204"/>
      <c r="H37" s="426">
        <v>1.1316705465107033</v>
      </c>
      <c r="I37" s="204"/>
      <c r="J37" s="73">
        <f t="shared" ref="J37:J40" si="4">+D37*H37</f>
        <v>27397.148605644776</v>
      </c>
      <c r="K37" s="50"/>
      <c r="L37" s="50">
        <f t="shared" ref="L37:L40" si="5">+J37/J36-1</f>
        <v>-2.6499528891331892E-2</v>
      </c>
      <c r="M37" s="50"/>
    </row>
    <row r="38" spans="1:13">
      <c r="A38" s="284"/>
      <c r="B38" s="252">
        <f t="shared" si="3"/>
        <v>2018</v>
      </c>
      <c r="C38" s="284"/>
      <c r="D38" s="365">
        <v>24960.962623868043</v>
      </c>
      <c r="E38" s="73"/>
      <c r="F38" s="50">
        <f t="shared" ref="F38:F40" si="6">+D38/D37-1</f>
        <v>3.1041099224683233E-2</v>
      </c>
      <c r="G38" s="284"/>
      <c r="H38" s="426">
        <v>1.1024589131799567</v>
      </c>
      <c r="I38" s="284"/>
      <c r="J38" s="73">
        <f t="shared" si="4"/>
        <v>27518.435726235082</v>
      </c>
      <c r="K38" s="50"/>
      <c r="L38" s="50">
        <f t="shared" si="5"/>
        <v>4.4269979455204833E-3</v>
      </c>
      <c r="M38" s="50"/>
    </row>
    <row r="39" spans="1:13">
      <c r="A39" s="469"/>
      <c r="B39" s="252">
        <f t="shared" si="3"/>
        <v>2019</v>
      </c>
      <c r="C39" s="469"/>
      <c r="D39" s="365">
        <v>26396.868528583906</v>
      </c>
      <c r="E39" s="73"/>
      <c r="F39" s="50">
        <f t="shared" si="6"/>
        <v>5.7526062850750348E-2</v>
      </c>
      <c r="G39" s="469"/>
      <c r="H39" s="426">
        <v>1.0705602848213625</v>
      </c>
      <c r="I39" s="469"/>
      <c r="J39" s="73">
        <f t="shared" si="4"/>
        <v>28259.439090352844</v>
      </c>
      <c r="K39" s="50"/>
      <c r="L39" s="50">
        <f t="shared" si="5"/>
        <v>2.6927524932360836E-2</v>
      </c>
      <c r="M39" s="50"/>
    </row>
    <row r="40" spans="1:13">
      <c r="A40" s="233"/>
      <c r="B40" s="252">
        <f t="shared" si="3"/>
        <v>2020</v>
      </c>
      <c r="C40" s="233"/>
      <c r="D40" s="365">
        <v>28866.101179153746</v>
      </c>
      <c r="E40" s="73"/>
      <c r="F40" s="50">
        <f t="shared" si="6"/>
        <v>9.3542635479508807E-2</v>
      </c>
      <c r="G40" s="233"/>
      <c r="H40" s="426">
        <v>1.0482622785885933</v>
      </c>
      <c r="I40" s="233"/>
      <c r="J40" s="73">
        <f t="shared" si="4"/>
        <v>30259.244996028585</v>
      </c>
      <c r="K40" s="50"/>
      <c r="L40" s="50">
        <f t="shared" si="5"/>
        <v>7.0765944762096522E-2</v>
      </c>
      <c r="M40" s="50"/>
    </row>
    <row r="41" spans="1:13">
      <c r="A41" s="10"/>
      <c r="B41" s="10"/>
      <c r="C41" s="10"/>
      <c r="D41" s="10"/>
      <c r="E41" s="10"/>
      <c r="F41" s="10"/>
      <c r="G41" s="10"/>
      <c r="H41" s="10"/>
      <c r="I41" s="10"/>
      <c r="J41" s="10"/>
      <c r="K41" s="10"/>
      <c r="L41" s="10"/>
      <c r="M41" s="10"/>
    </row>
    <row r="42" spans="1:13">
      <c r="A42" s="10"/>
      <c r="B42" s="55" t="s">
        <v>51</v>
      </c>
      <c r="C42" s="44" t="str">
        <f>"Estimated Annual Exponential Trend Based on "&amp;$B$10&amp;" to "&amp;$B$40&amp;":"</f>
        <v>Estimated Annual Exponential Trend Based on 1990 to 2020:</v>
      </c>
      <c r="D42" s="44"/>
      <c r="E42" s="44"/>
      <c r="F42" s="44"/>
      <c r="G42" s="44"/>
      <c r="H42" s="44"/>
      <c r="I42" s="44"/>
      <c r="J42" s="44"/>
      <c r="K42" s="76"/>
      <c r="L42" s="424">
        <f>LOGEST($J$10:$J$40)-1</f>
        <v>1.0450728964493283E-2</v>
      </c>
      <c r="M42" s="50"/>
    </row>
    <row r="43" spans="1:13">
      <c r="A43" s="10"/>
      <c r="B43" s="55" t="s">
        <v>131</v>
      </c>
      <c r="C43" s="44" t="str">
        <f>"Estimated Annual Exponential Trend Based on "&amp;$B$25&amp;" to "&amp;$B$39&amp;":"</f>
        <v>Estimated Annual Exponential Trend Based on 2005 to 2019:</v>
      </c>
      <c r="D43" s="44"/>
      <c r="E43" s="44"/>
      <c r="F43" s="44"/>
      <c r="G43" s="44"/>
      <c r="H43" s="44"/>
      <c r="I43" s="44"/>
      <c r="J43" s="44"/>
      <c r="K43" s="76"/>
      <c r="L43" s="424">
        <f>LOGEST($J$25:$J$39)-1</f>
        <v>-1.4750035588792731E-2</v>
      </c>
      <c r="M43" s="50"/>
    </row>
    <row r="44" spans="1:13">
      <c r="A44" s="228"/>
      <c r="B44" s="55" t="s">
        <v>217</v>
      </c>
      <c r="C44" s="44" t="str">
        <f>"Estimated Annual Exponential Trend Based on "&amp;$B$35&amp;" to "&amp;$B$39&amp;":"</f>
        <v>Estimated Annual Exponential Trend Based on 2015 to 2019:</v>
      </c>
      <c r="D44" s="44"/>
      <c r="E44" s="44"/>
      <c r="F44" s="44"/>
      <c r="G44" s="44"/>
      <c r="H44" s="44"/>
      <c r="I44" s="44"/>
      <c r="J44" s="44"/>
      <c r="K44" s="76"/>
      <c r="L44" s="424">
        <f>LOGEST($J$35:$J$39)-1</f>
        <v>-9.3303870484909845E-3</v>
      </c>
      <c r="M44" s="50"/>
    </row>
    <row r="45" spans="1:13">
      <c r="A45" s="10"/>
      <c r="B45" s="55"/>
      <c r="C45" s="10"/>
      <c r="D45" s="10"/>
      <c r="E45" s="10"/>
      <c r="F45" s="10"/>
      <c r="G45" s="10"/>
      <c r="H45" s="10"/>
      <c r="I45" s="10"/>
      <c r="J45" s="10"/>
      <c r="K45" s="50"/>
      <c r="L45" s="50"/>
      <c r="M45" s="50"/>
    </row>
    <row r="46" spans="1:13">
      <c r="A46" s="10"/>
      <c r="B46" s="55"/>
      <c r="C46" s="10"/>
      <c r="D46" s="10"/>
      <c r="E46" s="10"/>
      <c r="F46" s="10"/>
      <c r="G46" s="10"/>
      <c r="H46" s="10"/>
      <c r="I46" s="10"/>
      <c r="J46" s="50"/>
      <c r="K46" s="50"/>
      <c r="L46" s="254">
        <v>0.01</v>
      </c>
      <c r="M46" s="50"/>
    </row>
    <row r="47" spans="1:13">
      <c r="A47" s="10"/>
      <c r="B47" s="55"/>
      <c r="C47" s="10"/>
      <c r="D47" s="10"/>
      <c r="E47" s="10"/>
      <c r="F47" s="10"/>
      <c r="G47" s="10"/>
      <c r="H47" s="10"/>
      <c r="I47" s="10"/>
      <c r="J47" s="50"/>
      <c r="K47" s="50"/>
      <c r="L47" s="50"/>
      <c r="M47" s="50"/>
    </row>
    <row r="48" spans="1:13">
      <c r="A48" s="10"/>
      <c r="B48" s="55"/>
      <c r="C48" s="10"/>
      <c r="D48" s="10"/>
      <c r="E48" s="10"/>
      <c r="F48" s="10"/>
      <c r="G48" s="10"/>
      <c r="H48" s="10"/>
      <c r="I48" s="10"/>
      <c r="J48" s="50"/>
      <c r="K48" s="50"/>
      <c r="L48" s="50"/>
      <c r="M48" s="50"/>
    </row>
    <row r="49" spans="1:13">
      <c r="A49" s="10"/>
      <c r="B49" s="49" t="s">
        <v>338</v>
      </c>
      <c r="C49" s="10"/>
      <c r="D49" s="10"/>
      <c r="E49" s="10"/>
      <c r="F49" s="10"/>
      <c r="G49" s="10"/>
      <c r="H49" s="10"/>
      <c r="I49" s="10"/>
      <c r="J49" s="50"/>
      <c r="K49" s="50"/>
      <c r="L49" s="50"/>
      <c r="M49" s="50"/>
    </row>
    <row r="50" spans="1:13">
      <c r="A50" s="10"/>
      <c r="B50" s="10"/>
      <c r="C50" s="10"/>
      <c r="D50" s="10"/>
      <c r="E50" s="10"/>
      <c r="F50" s="10"/>
      <c r="G50" s="10"/>
      <c r="H50" s="10"/>
      <c r="I50" s="10"/>
      <c r="J50" s="50"/>
      <c r="K50" s="50"/>
      <c r="L50" s="50"/>
      <c r="M50" s="50"/>
    </row>
    <row r="51" spans="1:13">
      <c r="A51" s="10"/>
      <c r="B51" s="10" t="s">
        <v>554</v>
      </c>
      <c r="C51" s="10"/>
      <c r="D51" s="10"/>
      <c r="E51" s="10"/>
      <c r="F51" s="10"/>
      <c r="G51" s="10"/>
      <c r="H51" s="10"/>
      <c r="I51" s="10"/>
      <c r="J51" s="50"/>
      <c r="K51" s="50"/>
      <c r="L51" s="50"/>
      <c r="M51" s="50"/>
    </row>
  </sheetData>
  <printOptions horizontalCentered="1"/>
  <pageMargins left="0.5" right="0.5" top="0.75" bottom="0.75" header="0.33" footer="0.33"/>
  <pageSetup orientation="portrait" blackAndWhite="1" r:id="rId1"/>
  <headerFooter scaleWithDoc="0">
    <oddHeader>&amp;R&amp;"Arial,Regular"&amp;10Exhibit 6.2</oddHeader>
  </headerFooter>
  <ignoredErrors>
    <ignoredError sqref="D4:L4" numberStoredAsText="1"/>
  </ignoredErrors>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7"/>
  <dimension ref="A1:M50"/>
  <sheetViews>
    <sheetView zoomScaleNormal="100" workbookViewId="0"/>
  </sheetViews>
  <sheetFormatPr defaultColWidth="9.1796875" defaultRowHeight="12.5"/>
  <cols>
    <col min="1" max="1" width="4" style="174" customWidth="1"/>
    <col min="2" max="2" width="9.1796875" style="174"/>
    <col min="3" max="3" width="5" style="174" customWidth="1"/>
    <col min="4" max="4" width="9.1796875" style="174"/>
    <col min="5" max="5" width="5" style="174" customWidth="1"/>
    <col min="6" max="6" width="9.1796875" style="174"/>
    <col min="7" max="7" width="5" style="174" customWidth="1"/>
    <col min="8" max="8" width="9.1796875" style="174"/>
    <col min="9" max="9" width="5" style="174" customWidth="1"/>
    <col min="10" max="10" width="9.1796875" style="174"/>
    <col min="11" max="11" width="5" style="174" customWidth="1"/>
    <col min="12" max="12" width="9.1796875" style="174"/>
    <col min="13" max="13" width="5" style="174" customWidth="1"/>
    <col min="14" max="16384" width="9.1796875" style="174"/>
  </cols>
  <sheetData>
    <row r="1" spans="1:13" ht="13">
      <c r="A1" s="245" t="s">
        <v>208</v>
      </c>
      <c r="B1" s="245"/>
      <c r="C1" s="245"/>
      <c r="D1" s="245"/>
      <c r="E1" s="245"/>
      <c r="F1" s="245"/>
      <c r="G1" s="245"/>
      <c r="H1" s="245"/>
      <c r="I1" s="245"/>
      <c r="J1" s="245"/>
      <c r="K1" s="245"/>
      <c r="L1" s="245"/>
      <c r="M1" s="245"/>
    </row>
    <row r="2" spans="1:13" ht="13">
      <c r="A2" s="245" t="s">
        <v>525</v>
      </c>
      <c r="B2" s="245"/>
      <c r="C2" s="245"/>
      <c r="D2" s="245"/>
      <c r="E2" s="245"/>
      <c r="F2" s="245"/>
      <c r="G2" s="245"/>
      <c r="H2" s="245"/>
      <c r="I2" s="245"/>
      <c r="J2" s="245"/>
      <c r="K2" s="245"/>
      <c r="L2" s="245"/>
      <c r="M2" s="245"/>
    </row>
    <row r="4" spans="1:13">
      <c r="D4" s="27" t="s">
        <v>45</v>
      </c>
      <c r="E4" s="27"/>
      <c r="F4" s="27" t="s">
        <v>46</v>
      </c>
      <c r="H4" s="27" t="s">
        <v>47</v>
      </c>
      <c r="J4" s="27" t="s">
        <v>48</v>
      </c>
      <c r="K4" s="27"/>
      <c r="L4" s="27" t="s">
        <v>50</v>
      </c>
    </row>
    <row r="5" spans="1:13">
      <c r="D5" s="177" t="s">
        <v>202</v>
      </c>
      <c r="E5" s="177"/>
      <c r="F5" s="177"/>
      <c r="G5" s="56"/>
      <c r="H5" s="177" t="s">
        <v>5</v>
      </c>
      <c r="I5" s="56"/>
      <c r="J5" s="177" t="s">
        <v>55</v>
      </c>
      <c r="K5" s="177"/>
      <c r="L5" s="177"/>
      <c r="M5" s="177"/>
    </row>
    <row r="6" spans="1:13">
      <c r="B6" s="177" t="s">
        <v>203</v>
      </c>
      <c r="D6" s="177" t="s">
        <v>55</v>
      </c>
      <c r="E6" s="177"/>
      <c r="F6" s="177" t="s">
        <v>63</v>
      </c>
      <c r="G6" s="56"/>
      <c r="H6" s="177" t="s">
        <v>142</v>
      </c>
      <c r="I6" s="56"/>
      <c r="J6" s="177" t="s">
        <v>119</v>
      </c>
      <c r="K6" s="177"/>
      <c r="L6" s="177" t="s">
        <v>63</v>
      </c>
      <c r="M6" s="177"/>
    </row>
    <row r="7" spans="1:13">
      <c r="B7" s="26" t="s">
        <v>8</v>
      </c>
      <c r="C7" s="173"/>
      <c r="D7" s="26" t="s">
        <v>210</v>
      </c>
      <c r="E7" s="26"/>
      <c r="F7" s="26" t="s">
        <v>205</v>
      </c>
      <c r="G7" s="77"/>
      <c r="H7" s="26" t="s">
        <v>211</v>
      </c>
      <c r="I7" s="77"/>
      <c r="J7" s="26" t="s">
        <v>204</v>
      </c>
      <c r="K7" s="26"/>
      <c r="L7" s="26" t="s">
        <v>205</v>
      </c>
      <c r="M7" s="26"/>
    </row>
    <row r="8" spans="1:13">
      <c r="B8" s="177"/>
      <c r="D8" s="73"/>
      <c r="E8" s="73"/>
      <c r="F8" s="73"/>
      <c r="H8" s="57"/>
      <c r="J8" s="74" t="s">
        <v>206</v>
      </c>
      <c r="L8" s="177"/>
    </row>
    <row r="9" spans="1:13">
      <c r="B9" s="177"/>
      <c r="D9" s="73"/>
      <c r="E9" s="73"/>
      <c r="F9" s="73"/>
      <c r="H9" s="57"/>
      <c r="L9" s="177"/>
    </row>
    <row r="10" spans="1:13">
      <c r="B10" s="177">
        <f>+'Exhibit 6.2'!B10</f>
        <v>1990</v>
      </c>
      <c r="D10" s="365">
        <v>8811.4628326015172</v>
      </c>
      <c r="E10" s="73"/>
      <c r="F10" s="75" t="s">
        <v>32</v>
      </c>
      <c r="H10" s="426">
        <v>0.91108842511037946</v>
      </c>
      <c r="J10" s="73">
        <f t="shared" ref="J10:J35" si="0">+ROUND(H10*D10,0)</f>
        <v>8028</v>
      </c>
      <c r="K10" s="75"/>
      <c r="L10" s="75" t="s">
        <v>32</v>
      </c>
      <c r="M10" s="75"/>
    </row>
    <row r="11" spans="1:13">
      <c r="B11" s="177">
        <f>+'Exhibit 6.2'!B11</f>
        <v>1991</v>
      </c>
      <c r="D11" s="365">
        <v>9491.2498309688435</v>
      </c>
      <c r="E11" s="73"/>
      <c r="F11" s="50">
        <f t="shared" ref="F11:F28" si="1">+D11/D10-1</f>
        <v>7.7148029933484352E-2</v>
      </c>
      <c r="H11" s="426">
        <v>0.89372864000688557</v>
      </c>
      <c r="J11" s="73">
        <f t="shared" si="0"/>
        <v>8483</v>
      </c>
      <c r="K11" s="50"/>
      <c r="L11" s="50">
        <f t="shared" ref="L11:L30" si="2">+J11/J10-1</f>
        <v>5.6676631788739495E-2</v>
      </c>
      <c r="M11" s="50"/>
    </row>
    <row r="12" spans="1:13">
      <c r="B12" s="177">
        <f>+'Exhibit 6.2'!B12</f>
        <v>1992</v>
      </c>
      <c r="D12" s="365">
        <v>9550.1883703971598</v>
      </c>
      <c r="E12" s="73"/>
      <c r="F12" s="50">
        <f t="shared" si="1"/>
        <v>6.209776423333313E-3</v>
      </c>
      <c r="H12" s="426">
        <v>0.86338080472094436</v>
      </c>
      <c r="J12" s="73">
        <f t="shared" si="0"/>
        <v>8245</v>
      </c>
      <c r="K12" s="50"/>
      <c r="L12" s="50">
        <f t="shared" si="2"/>
        <v>-2.8056112224448926E-2</v>
      </c>
      <c r="M12" s="50"/>
    </row>
    <row r="13" spans="1:13">
      <c r="B13" s="177">
        <f>+'Exhibit 6.2'!B13</f>
        <v>1993</v>
      </c>
      <c r="D13" s="365">
        <v>10416.127312782777</v>
      </c>
      <c r="E13" s="73"/>
      <c r="F13" s="50">
        <f t="shared" si="1"/>
        <v>9.0672446322606515E-2</v>
      </c>
      <c r="H13" s="426">
        <v>0.8466086409353738</v>
      </c>
      <c r="J13" s="73">
        <f t="shared" si="0"/>
        <v>8818</v>
      </c>
      <c r="K13" s="50"/>
      <c r="L13" s="50">
        <f t="shared" si="2"/>
        <v>6.9496664645239514E-2</v>
      </c>
      <c r="M13" s="50"/>
    </row>
    <row r="14" spans="1:13">
      <c r="B14" s="177">
        <f>+'Exhibit 6.2'!B14</f>
        <v>1994</v>
      </c>
      <c r="D14" s="365">
        <v>11390.065338373615</v>
      </c>
      <c r="E14" s="73"/>
      <c r="F14" s="50">
        <f t="shared" si="1"/>
        <v>9.3502891846916292E-2</v>
      </c>
      <c r="H14" s="426">
        <v>0.88967047107641462</v>
      </c>
      <c r="J14" s="73">
        <f t="shared" si="0"/>
        <v>10133</v>
      </c>
      <c r="K14" s="50"/>
      <c r="L14" s="50">
        <f t="shared" si="2"/>
        <v>0.14912678611930152</v>
      </c>
      <c r="M14" s="50"/>
    </row>
    <row r="15" spans="1:13">
      <c r="B15" s="177">
        <f>+'Exhibit 6.2'!B15</f>
        <v>1995</v>
      </c>
      <c r="D15" s="365">
        <v>13118.069902862004</v>
      </c>
      <c r="E15" s="73"/>
      <c r="F15" s="50">
        <f t="shared" si="1"/>
        <v>0.15171155855152718</v>
      </c>
      <c r="H15" s="426">
        <v>0.8817348573601731</v>
      </c>
      <c r="J15" s="73">
        <f t="shared" si="0"/>
        <v>11567</v>
      </c>
      <c r="K15" s="50"/>
      <c r="L15" s="50">
        <f t="shared" si="2"/>
        <v>0.14151781308595668</v>
      </c>
      <c r="M15" s="50"/>
    </row>
    <row r="16" spans="1:13">
      <c r="B16" s="177">
        <f>+'Exhibit 6.2'!B16</f>
        <v>1996</v>
      </c>
      <c r="D16" s="365">
        <v>14104.000015788941</v>
      </c>
      <c r="E16" s="73"/>
      <c r="F16" s="50">
        <f t="shared" si="1"/>
        <v>7.5158168863838304E-2</v>
      </c>
      <c r="H16" s="426">
        <v>0.87300480926749813</v>
      </c>
      <c r="J16" s="73">
        <f t="shared" si="0"/>
        <v>12313</v>
      </c>
      <c r="K16" s="50"/>
      <c r="L16" s="50">
        <f t="shared" si="2"/>
        <v>6.4493818621941701E-2</v>
      </c>
      <c r="M16" s="50"/>
    </row>
    <row r="17" spans="2:13">
      <c r="B17" s="177">
        <f>+'Exhibit 6.2'!B17</f>
        <v>1997</v>
      </c>
      <c r="D17" s="365">
        <v>16788.720032507797</v>
      </c>
      <c r="E17" s="73"/>
      <c r="F17" s="50">
        <f t="shared" si="1"/>
        <v>0.19035167425648081</v>
      </c>
      <c r="H17" s="426">
        <v>0.86693625547914421</v>
      </c>
      <c r="J17" s="73">
        <f t="shared" si="0"/>
        <v>14555</v>
      </c>
      <c r="K17" s="50"/>
      <c r="L17" s="50">
        <f t="shared" si="2"/>
        <v>0.1820839762852271</v>
      </c>
      <c r="M17" s="50"/>
    </row>
    <row r="18" spans="2:13">
      <c r="B18" s="177">
        <f>+'Exhibit 6.2'!B18</f>
        <v>1998</v>
      </c>
      <c r="D18" s="365">
        <v>20394.736613559679</v>
      </c>
      <c r="E18" s="73"/>
      <c r="F18" s="50">
        <f t="shared" si="1"/>
        <v>0.21478805853392013</v>
      </c>
      <c r="H18" s="426">
        <v>0.76381510569013111</v>
      </c>
      <c r="J18" s="73">
        <f t="shared" si="0"/>
        <v>15578</v>
      </c>
      <c r="K18" s="50"/>
      <c r="L18" s="50">
        <f t="shared" si="2"/>
        <v>7.0285125386465142E-2</v>
      </c>
      <c r="M18" s="50"/>
    </row>
    <row r="19" spans="2:13">
      <c r="B19" s="177">
        <f>+'Exhibit 6.2'!B19</f>
        <v>1999</v>
      </c>
      <c r="D19" s="365">
        <v>23453.102076802228</v>
      </c>
      <c r="E19" s="73"/>
      <c r="F19" s="50">
        <f t="shared" si="1"/>
        <v>0.14995856632976379</v>
      </c>
      <c r="H19" s="426">
        <v>0.66179881790939765</v>
      </c>
      <c r="J19" s="73">
        <f t="shared" si="0"/>
        <v>15521</v>
      </c>
      <c r="K19" s="50"/>
      <c r="L19" s="50">
        <f t="shared" si="2"/>
        <v>-3.6590062909230836E-3</v>
      </c>
      <c r="M19" s="50"/>
    </row>
    <row r="20" spans="2:13">
      <c r="B20" s="177">
        <f>+'Exhibit 6.2'!B20</f>
        <v>2000</v>
      </c>
      <c r="D20" s="365">
        <v>26192.982151533459</v>
      </c>
      <c r="E20" s="73"/>
      <c r="F20" s="50">
        <f t="shared" si="1"/>
        <v>0.116823781594388</v>
      </c>
      <c r="H20" s="426">
        <v>0.60816476709894196</v>
      </c>
      <c r="J20" s="73">
        <f t="shared" si="0"/>
        <v>15930</v>
      </c>
      <c r="K20" s="50"/>
      <c r="L20" s="50">
        <f t="shared" si="2"/>
        <v>2.6351394884350343E-2</v>
      </c>
      <c r="M20" s="50"/>
    </row>
    <row r="21" spans="2:13">
      <c r="B21" s="177">
        <f>+'Exhibit 6.2'!B21</f>
        <v>2001</v>
      </c>
      <c r="D21" s="365">
        <v>31267.705492785426</v>
      </c>
      <c r="E21" s="73"/>
      <c r="F21" s="50">
        <f t="shared" si="1"/>
        <v>0.19374362613211904</v>
      </c>
      <c r="H21" s="426">
        <v>0.55443249616555357</v>
      </c>
      <c r="J21" s="73">
        <f t="shared" si="0"/>
        <v>17336</v>
      </c>
      <c r="K21" s="50"/>
      <c r="L21" s="50">
        <f t="shared" si="2"/>
        <v>8.8261142498430534E-2</v>
      </c>
      <c r="M21" s="50"/>
    </row>
    <row r="22" spans="2:13">
      <c r="B22" s="177">
        <f>+'Exhibit 6.2'!B22</f>
        <v>2002</v>
      </c>
      <c r="D22" s="365">
        <v>31469.518888311461</v>
      </c>
      <c r="E22" s="73"/>
      <c r="F22" s="50">
        <f t="shared" si="1"/>
        <v>6.4543717661853517E-3</v>
      </c>
      <c r="H22" s="426">
        <v>0.5758064308798122</v>
      </c>
      <c r="J22" s="73">
        <f t="shared" si="0"/>
        <v>18120</v>
      </c>
      <c r="K22" s="50"/>
      <c r="L22" s="50">
        <f t="shared" si="2"/>
        <v>4.5223811721273544E-2</v>
      </c>
      <c r="M22" s="50"/>
    </row>
    <row r="23" spans="2:13">
      <c r="B23" s="177">
        <f>+'Exhibit 6.2'!B23</f>
        <v>2003</v>
      </c>
      <c r="D23" s="365">
        <v>30110.429077991135</v>
      </c>
      <c r="E23" s="73"/>
      <c r="F23" s="50">
        <f t="shared" si="1"/>
        <v>-4.3187498834789118E-2</v>
      </c>
      <c r="H23" s="426">
        <v>0.60410259649986597</v>
      </c>
      <c r="J23" s="73">
        <f t="shared" si="0"/>
        <v>18190</v>
      </c>
      <c r="K23" s="50"/>
      <c r="L23" s="50">
        <f t="shared" si="2"/>
        <v>3.8631346578366088E-3</v>
      </c>
      <c r="M23" s="50"/>
    </row>
    <row r="24" spans="2:13">
      <c r="B24" s="177">
        <f>+'Exhibit 6.2'!B24</f>
        <v>2004</v>
      </c>
      <c r="D24" s="365">
        <v>27761.613269444471</v>
      </c>
      <c r="E24" s="73"/>
      <c r="F24" s="50">
        <f t="shared" si="1"/>
        <v>-7.8006719946196457E-2</v>
      </c>
      <c r="H24" s="426">
        <v>0.79907750859770632</v>
      </c>
      <c r="J24" s="73">
        <f t="shared" si="0"/>
        <v>22184</v>
      </c>
      <c r="K24" s="50"/>
      <c r="L24" s="50">
        <f t="shared" si="2"/>
        <v>0.21957119296316652</v>
      </c>
      <c r="M24" s="50"/>
    </row>
    <row r="25" spans="2:13">
      <c r="B25" s="177">
        <f>+'Exhibit 6.2'!B25</f>
        <v>2005</v>
      </c>
      <c r="D25" s="365">
        <v>28648.834679674088</v>
      </c>
      <c r="E25" s="73"/>
      <c r="F25" s="50">
        <f t="shared" si="1"/>
        <v>3.1958568171761348E-2</v>
      </c>
      <c r="H25" s="426">
        <v>0.79907750859770632</v>
      </c>
      <c r="J25" s="73">
        <f t="shared" si="0"/>
        <v>22893</v>
      </c>
      <c r="K25" s="50"/>
      <c r="L25" s="50">
        <f t="shared" si="2"/>
        <v>3.195997115037863E-2</v>
      </c>
      <c r="M25" s="50"/>
    </row>
    <row r="26" spans="2:13">
      <c r="B26" s="177">
        <f>+'Exhibit 6.2'!B26</f>
        <v>2006</v>
      </c>
      <c r="D26" s="365">
        <v>31176.627024902544</v>
      </c>
      <c r="E26" s="73"/>
      <c r="F26" s="50">
        <f t="shared" si="1"/>
        <v>8.8233688158418699E-2</v>
      </c>
      <c r="H26" s="426">
        <v>0.79589155470422546</v>
      </c>
      <c r="J26" s="73">
        <f t="shared" si="0"/>
        <v>24813</v>
      </c>
      <c r="K26" s="50"/>
      <c r="L26" s="50">
        <f t="shared" si="2"/>
        <v>8.386843139824407E-2</v>
      </c>
      <c r="M26" s="50"/>
    </row>
    <row r="27" spans="2:13">
      <c r="B27" s="177">
        <f>+'Exhibit 6.2'!B27</f>
        <v>2007</v>
      </c>
      <c r="D27" s="365">
        <v>34722.565717915393</v>
      </c>
      <c r="E27" s="73"/>
      <c r="F27" s="50">
        <f t="shared" si="1"/>
        <v>0.11373708548331751</v>
      </c>
      <c r="H27" s="426">
        <v>0.78103777823770093</v>
      </c>
      <c r="J27" s="73">
        <f t="shared" si="0"/>
        <v>27120</v>
      </c>
      <c r="K27" s="50"/>
      <c r="L27" s="50">
        <f t="shared" si="2"/>
        <v>9.2975456413976643E-2</v>
      </c>
      <c r="M27" s="50"/>
    </row>
    <row r="28" spans="2:13">
      <c r="B28" s="177">
        <f>+'Exhibit 6.2'!B28</f>
        <v>2008</v>
      </c>
      <c r="D28" s="365">
        <v>37387.869547823895</v>
      </c>
      <c r="E28" s="73"/>
      <c r="F28" s="50">
        <f t="shared" si="1"/>
        <v>7.6759990939647471E-2</v>
      </c>
      <c r="H28" s="426">
        <v>0.77792297464721361</v>
      </c>
      <c r="J28" s="73">
        <f t="shared" si="0"/>
        <v>29085</v>
      </c>
      <c r="K28" s="50"/>
      <c r="L28" s="50">
        <f t="shared" si="2"/>
        <v>7.2455752212389424E-2</v>
      </c>
      <c r="M28" s="50"/>
    </row>
    <row r="29" spans="2:13">
      <c r="B29" s="177">
        <f>+'Exhibit 6.2'!B29</f>
        <v>2009</v>
      </c>
      <c r="D29" s="365">
        <v>39240.898997387922</v>
      </c>
      <c r="E29" s="73"/>
      <c r="F29" s="50">
        <f>+D29/D28-1</f>
        <v>4.9562317189369764E-2</v>
      </c>
      <c r="H29" s="426">
        <v>0.77482367992750356</v>
      </c>
      <c r="J29" s="73">
        <f t="shared" si="0"/>
        <v>30405</v>
      </c>
      <c r="K29" s="50"/>
      <c r="L29" s="50">
        <f t="shared" si="2"/>
        <v>4.5384218669417331E-2</v>
      </c>
      <c r="M29" s="50"/>
    </row>
    <row r="30" spans="2:13">
      <c r="B30" s="176">
        <f>+'Exhibit 6.2'!B30</f>
        <v>2010</v>
      </c>
      <c r="C30" s="78"/>
      <c r="D30" s="425">
        <v>39397.231117767929</v>
      </c>
      <c r="E30" s="79"/>
      <c r="F30" s="80">
        <f>+D30/D29-1</f>
        <v>3.9839077180778837E-3</v>
      </c>
      <c r="G30" s="78"/>
      <c r="H30" s="296">
        <v>0.77250616144317408</v>
      </c>
      <c r="I30" s="78"/>
      <c r="J30" s="79">
        <f t="shared" si="0"/>
        <v>30435</v>
      </c>
      <c r="K30" s="80"/>
      <c r="L30" s="80">
        <f t="shared" si="2"/>
        <v>9.8667982239764029E-4</v>
      </c>
      <c r="M30" s="50"/>
    </row>
    <row r="31" spans="2:13">
      <c r="B31" s="177">
        <f>+'Exhibit 6.2'!B31</f>
        <v>2011</v>
      </c>
      <c r="D31" s="365">
        <v>35614.728986325899</v>
      </c>
      <c r="E31" s="73" t="s">
        <v>38</v>
      </c>
      <c r="F31" s="75" t="s">
        <v>32</v>
      </c>
      <c r="H31" s="426">
        <v>0.79401605641135786</v>
      </c>
      <c r="J31" s="73">
        <f t="shared" si="0"/>
        <v>28279</v>
      </c>
      <c r="K31" s="73" t="s">
        <v>38</v>
      </c>
      <c r="L31" s="75" t="s">
        <v>32</v>
      </c>
      <c r="M31" s="73"/>
    </row>
    <row r="32" spans="2:13">
      <c r="B32" s="177">
        <f>+'Exhibit 6.2'!B32</f>
        <v>2012</v>
      </c>
      <c r="D32" s="365">
        <v>33423.234883669254</v>
      </c>
      <c r="E32" s="73"/>
      <c r="F32" s="50">
        <f t="shared" ref="F32:F40" si="3">+D32/D31-1</f>
        <v>-6.1533364566611182E-2</v>
      </c>
      <c r="H32" s="426">
        <v>0.83938924188124897</v>
      </c>
      <c r="J32" s="73">
        <f t="shared" si="0"/>
        <v>28055</v>
      </c>
      <c r="K32" s="73"/>
      <c r="L32" s="50">
        <f t="shared" ref="L32:L40" si="4">+J32/J31-1</f>
        <v>-7.9210721736977519E-3</v>
      </c>
      <c r="M32" s="73"/>
    </row>
    <row r="33" spans="2:13">
      <c r="B33" s="177">
        <f>+'Exhibit 6.2'!B33</f>
        <v>2013</v>
      </c>
      <c r="D33" s="365">
        <v>30765.528998079146</v>
      </c>
      <c r="E33" s="73"/>
      <c r="F33" s="50">
        <f t="shared" si="3"/>
        <v>-7.9516716285552458E-2</v>
      </c>
      <c r="H33" s="426">
        <v>0.92351397708156269</v>
      </c>
      <c r="J33" s="73">
        <f t="shared" si="0"/>
        <v>28412</v>
      </c>
      <c r="K33" s="73"/>
      <c r="L33" s="50">
        <f t="shared" si="4"/>
        <v>1.2725004455533817E-2</v>
      </c>
      <c r="M33" s="50"/>
    </row>
    <row r="34" spans="2:13">
      <c r="B34" s="177">
        <f>+'Exhibit 6.2'!B34</f>
        <v>2014</v>
      </c>
      <c r="D34" s="365">
        <v>29993.671958966373</v>
      </c>
      <c r="E34" s="73"/>
      <c r="F34" s="50">
        <f t="shared" si="3"/>
        <v>-2.5088372092056832E-2</v>
      </c>
      <c r="H34" s="426">
        <v>0.98370910461091376</v>
      </c>
      <c r="J34" s="73">
        <f t="shared" si="0"/>
        <v>29505</v>
      </c>
      <c r="K34" s="73"/>
      <c r="L34" s="50">
        <f t="shared" si="4"/>
        <v>3.8469660706743625E-2</v>
      </c>
      <c r="M34" s="50"/>
    </row>
    <row r="35" spans="2:13">
      <c r="B35" s="177">
        <f>+'Exhibit 6.2'!B35</f>
        <v>2015</v>
      </c>
      <c r="D35" s="365">
        <v>28937.83112784363</v>
      </c>
      <c r="E35" s="73"/>
      <c r="F35" s="50">
        <f t="shared" si="3"/>
        <v>-3.5202119719359937E-2</v>
      </c>
      <c r="H35" s="426">
        <v>1.0079523751377264</v>
      </c>
      <c r="J35" s="73">
        <f t="shared" si="0"/>
        <v>29168</v>
      </c>
      <c r="K35" s="73"/>
      <c r="L35" s="50">
        <f t="shared" si="4"/>
        <v>-1.1421792916454843E-2</v>
      </c>
      <c r="M35" s="50"/>
    </row>
    <row r="36" spans="2:13">
      <c r="B36" s="177">
        <f>+'Exhibit 6.2'!B36</f>
        <v>2016</v>
      </c>
      <c r="D36" s="365">
        <v>27814.357518649038</v>
      </c>
      <c r="E36" s="73"/>
      <c r="F36" s="50">
        <f t="shared" si="3"/>
        <v>-3.8823697748156416E-2</v>
      </c>
      <c r="H36" s="426">
        <v>1.0110137246961062</v>
      </c>
      <c r="J36" s="73">
        <f>+ROUND(H36*D36,0)</f>
        <v>28121</v>
      </c>
      <c r="K36" s="73"/>
      <c r="L36" s="50">
        <f t="shared" si="4"/>
        <v>-3.5895501919912198E-2</v>
      </c>
      <c r="M36" s="50"/>
    </row>
    <row r="37" spans="2:13" s="204" customFormat="1">
      <c r="B37" s="206">
        <f>+'Exhibit 6.2'!B37</f>
        <v>2017</v>
      </c>
      <c r="D37" s="365">
        <v>27547.440737874676</v>
      </c>
      <c r="E37" s="73"/>
      <c r="F37" s="50">
        <f t="shared" si="3"/>
        <v>-9.5963669337103541E-3</v>
      </c>
      <c r="H37" s="426">
        <v>1.0140660635473837</v>
      </c>
      <c r="J37" s="73">
        <f t="shared" ref="J37:J40" si="5">+ROUND(H37*D37,0)</f>
        <v>27935</v>
      </c>
      <c r="K37" s="73"/>
      <c r="L37" s="50">
        <f t="shared" si="4"/>
        <v>-6.6142740300842995E-3</v>
      </c>
      <c r="M37" s="50"/>
    </row>
    <row r="38" spans="2:13" s="284" customFormat="1">
      <c r="B38" s="252">
        <f>+'Exhibit 6.2'!B38</f>
        <v>2018</v>
      </c>
      <c r="D38" s="365">
        <v>28892.089116297804</v>
      </c>
      <c r="E38" s="73"/>
      <c r="F38" s="50">
        <f t="shared" si="3"/>
        <v>4.881209805360931E-2</v>
      </c>
      <c r="H38" s="426">
        <v>1.0150872413121437</v>
      </c>
      <c r="J38" s="73">
        <f t="shared" si="5"/>
        <v>29328</v>
      </c>
      <c r="K38" s="73"/>
      <c r="L38" s="50">
        <f t="shared" si="4"/>
        <v>4.986575979953467E-2</v>
      </c>
      <c r="M38" s="50"/>
    </row>
    <row r="39" spans="2:13" s="469" customFormat="1">
      <c r="B39" s="252">
        <f>+'Exhibit 6.2'!B39</f>
        <v>2019</v>
      </c>
      <c r="D39" s="365">
        <v>28261.391745640936</v>
      </c>
      <c r="E39" s="73"/>
      <c r="F39" s="50">
        <f t="shared" si="3"/>
        <v>-2.1829413861979785E-2</v>
      </c>
      <c r="H39" s="426">
        <v>1.0110430690359997</v>
      </c>
      <c r="J39" s="73">
        <f t="shared" si="5"/>
        <v>28573</v>
      </c>
      <c r="K39" s="73"/>
      <c r="L39" s="50">
        <f t="shared" si="4"/>
        <v>-2.5743316966721275E-2</v>
      </c>
      <c r="M39" s="50"/>
    </row>
    <row r="40" spans="2:13">
      <c r="B40" s="252">
        <f>+'Exhibit 6.2'!B40</f>
        <v>2020</v>
      </c>
      <c r="C40" s="233"/>
      <c r="D40" s="365">
        <v>27515.872235162617</v>
      </c>
      <c r="E40" s="73"/>
      <c r="F40" s="50">
        <f t="shared" si="3"/>
        <v>-2.6379433723157319E-2</v>
      </c>
      <c r="G40" s="233"/>
      <c r="H40" s="426">
        <v>1.0070150089999996</v>
      </c>
      <c r="I40" s="233"/>
      <c r="J40" s="73">
        <f t="shared" si="5"/>
        <v>27709</v>
      </c>
      <c r="K40" s="73"/>
      <c r="L40" s="50">
        <f t="shared" si="4"/>
        <v>-3.0238336891470929E-2</v>
      </c>
      <c r="M40" s="50"/>
    </row>
    <row r="41" spans="2:13" s="233" customFormat="1">
      <c r="B41" s="235"/>
      <c r="D41" s="73"/>
      <c r="E41" s="73"/>
      <c r="F41" s="50"/>
      <c r="H41" s="57"/>
      <c r="J41" s="73"/>
      <c r="K41" s="73"/>
      <c r="L41" s="50"/>
      <c r="M41" s="50"/>
    </row>
    <row r="42" spans="2:13">
      <c r="B42" s="56"/>
    </row>
    <row r="43" spans="2:13">
      <c r="B43" s="56"/>
      <c r="I43" s="203" t="s">
        <v>221</v>
      </c>
      <c r="L43" s="76">
        <f>+'Exhibit 6.4'!P35</f>
        <v>0.01</v>
      </c>
    </row>
    <row r="44" spans="2:13">
      <c r="B44" s="56"/>
    </row>
    <row r="45" spans="2:13">
      <c r="B45" s="56"/>
    </row>
    <row r="46" spans="2:13" ht="56.5" customHeight="1">
      <c r="B46" s="514" t="s">
        <v>445</v>
      </c>
      <c r="C46" s="514"/>
      <c r="D46" s="514"/>
      <c r="E46" s="514"/>
      <c r="F46" s="514"/>
      <c r="G46" s="514"/>
      <c r="H46" s="514"/>
      <c r="I46" s="514"/>
      <c r="J46" s="514"/>
      <c r="K46" s="514"/>
      <c r="L46" s="514"/>
      <c r="M46" s="514"/>
    </row>
    <row r="47" spans="2:13" ht="32.5" customHeight="1">
      <c r="B47" s="514" t="s">
        <v>343</v>
      </c>
      <c r="C47" s="514"/>
      <c r="D47" s="514"/>
      <c r="E47" s="514"/>
      <c r="F47" s="514"/>
      <c r="G47" s="514"/>
      <c r="H47" s="514"/>
      <c r="I47" s="514"/>
      <c r="J47" s="514"/>
      <c r="K47" s="514"/>
      <c r="L47" s="514"/>
      <c r="M47" s="514"/>
    </row>
    <row r="48" spans="2:13" ht="41.25" customHeight="1">
      <c r="B48" s="538" t="s">
        <v>209</v>
      </c>
      <c r="C48" s="538"/>
      <c r="D48" s="538"/>
      <c r="E48" s="538"/>
      <c r="F48" s="538"/>
      <c r="G48" s="538"/>
      <c r="H48" s="538"/>
      <c r="I48" s="538"/>
      <c r="J48" s="538"/>
      <c r="K48" s="538"/>
      <c r="L48" s="538"/>
      <c r="M48" s="538"/>
    </row>
    <row r="50" spans="2:2">
      <c r="B50" s="174" t="s">
        <v>554</v>
      </c>
    </row>
  </sheetData>
  <mergeCells count="3">
    <mergeCell ref="B46:M46"/>
    <mergeCell ref="B47:M47"/>
    <mergeCell ref="B48:M48"/>
  </mergeCells>
  <printOptions horizontalCentered="1"/>
  <pageMargins left="0.5" right="0.5" top="0.75" bottom="0.75" header="0.33" footer="0.33"/>
  <pageSetup scale="96" orientation="portrait" blackAndWhite="1" r:id="rId1"/>
  <headerFooter scaleWithDoc="0">
    <oddHeader>&amp;R&amp;"Arial,Regular"&amp;10Exhibit 6.3</oddHeader>
  </headerFooter>
  <ignoredErrors>
    <ignoredError sqref="D4:L4" numberStoredAsText="1"/>
  </ignoredError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dimension ref="A1:Q42"/>
  <sheetViews>
    <sheetView zoomScaleNormal="100" workbookViewId="0"/>
  </sheetViews>
  <sheetFormatPr defaultColWidth="9.1796875" defaultRowHeight="12.5"/>
  <cols>
    <col min="1" max="1" width="9.1796875" style="108"/>
    <col min="2" max="2" width="11.26953125" style="108" customWidth="1"/>
    <col min="3" max="3" width="3.7265625" style="108" customWidth="1"/>
    <col min="4" max="4" width="11.26953125" style="108" customWidth="1"/>
    <col min="5" max="5" width="3.7265625" style="108" customWidth="1"/>
    <col min="6" max="6" width="11.26953125" style="108" customWidth="1"/>
    <col min="7" max="7" width="3.7265625" style="108" customWidth="1"/>
    <col min="8" max="8" width="11.26953125" style="108" customWidth="1"/>
    <col min="9" max="9" width="3.7265625" style="108" customWidth="1"/>
    <col min="10" max="10" width="11.26953125" style="108" customWidth="1"/>
    <col min="11" max="11" width="4" style="108" customWidth="1"/>
    <col min="12" max="12" width="11.26953125" style="108" customWidth="1"/>
    <col min="13" max="13" width="3.7265625" style="108" customWidth="1"/>
    <col min="14" max="14" width="11.26953125" style="108" customWidth="1"/>
    <col min="15" max="15" width="3.7265625" style="108" customWidth="1"/>
    <col min="16" max="16" width="11.26953125" style="108" customWidth="1"/>
    <col min="17" max="17" width="3.7265625" style="108" customWidth="1"/>
    <col min="18" max="16384" width="9.1796875" style="108"/>
  </cols>
  <sheetData>
    <row r="1" spans="1:17" ht="13">
      <c r="A1" s="273" t="s">
        <v>208</v>
      </c>
      <c r="B1" s="274"/>
      <c r="C1" s="274"/>
      <c r="D1" s="274"/>
      <c r="E1" s="274"/>
      <c r="F1" s="274"/>
      <c r="G1" s="274"/>
      <c r="H1" s="274"/>
      <c r="I1" s="274"/>
      <c r="J1" s="274"/>
      <c r="K1" s="274"/>
      <c r="L1" s="274"/>
      <c r="M1" s="274"/>
      <c r="N1" s="274"/>
      <c r="O1" s="274"/>
      <c r="P1" s="274"/>
      <c r="Q1" s="274"/>
    </row>
    <row r="2" spans="1:17" ht="13">
      <c r="A2" s="273" t="s">
        <v>212</v>
      </c>
      <c r="B2" s="274"/>
      <c r="C2" s="274"/>
      <c r="D2" s="274"/>
      <c r="E2" s="274"/>
      <c r="F2" s="274"/>
      <c r="G2" s="274"/>
      <c r="H2" s="274"/>
      <c r="I2" s="274"/>
      <c r="J2" s="274"/>
      <c r="K2" s="274"/>
      <c r="L2" s="274"/>
      <c r="M2" s="274"/>
      <c r="N2" s="274"/>
      <c r="O2" s="274"/>
      <c r="P2" s="274"/>
      <c r="Q2" s="274"/>
    </row>
    <row r="3" spans="1:17" ht="13">
      <c r="A3" s="273" t="s">
        <v>525</v>
      </c>
      <c r="B3" s="274"/>
      <c r="C3" s="274"/>
      <c r="D3" s="274"/>
      <c r="E3" s="274"/>
      <c r="F3" s="274"/>
      <c r="G3" s="274"/>
      <c r="H3" s="274"/>
      <c r="I3" s="274"/>
      <c r="J3" s="274"/>
      <c r="K3" s="274"/>
      <c r="L3" s="274"/>
      <c r="M3" s="274"/>
      <c r="N3" s="274"/>
      <c r="O3" s="274"/>
      <c r="P3" s="274"/>
      <c r="Q3" s="274"/>
    </row>
    <row r="4" spans="1:17">
      <c r="A4" s="81"/>
      <c r="B4" s="81"/>
      <c r="C4" s="81"/>
      <c r="D4" s="81"/>
      <c r="E4" s="81"/>
      <c r="F4" s="81"/>
      <c r="G4" s="81"/>
      <c r="H4" s="81"/>
      <c r="I4" s="81"/>
      <c r="J4" s="81"/>
      <c r="K4" s="81"/>
      <c r="L4" s="81"/>
      <c r="M4" s="81"/>
      <c r="N4" s="81"/>
      <c r="O4" s="81"/>
      <c r="P4" s="81"/>
      <c r="Q4" s="81"/>
    </row>
    <row r="5" spans="1:17">
      <c r="A5" s="81"/>
      <c r="B5" s="81"/>
      <c r="C5" s="81"/>
      <c r="D5" s="81"/>
      <c r="E5" s="81"/>
      <c r="F5" s="81"/>
      <c r="G5" s="81"/>
      <c r="H5" s="81"/>
      <c r="I5" s="81"/>
      <c r="J5" s="541" t="s">
        <v>213</v>
      </c>
      <c r="K5" s="541"/>
      <c r="L5" s="541"/>
      <c r="M5" s="541"/>
      <c r="N5" s="541"/>
      <c r="O5" s="541"/>
      <c r="P5" s="541"/>
      <c r="Q5" s="81"/>
    </row>
    <row r="6" spans="1:17">
      <c r="A6" s="81"/>
      <c r="B6" s="81"/>
      <c r="C6" s="81"/>
      <c r="D6" s="81"/>
      <c r="E6" s="81"/>
      <c r="F6" s="81"/>
      <c r="G6" s="81"/>
      <c r="H6" s="81"/>
      <c r="I6" s="81"/>
      <c r="J6" s="541" t="s">
        <v>214</v>
      </c>
      <c r="K6" s="541"/>
      <c r="L6" s="541"/>
      <c r="M6" s="541"/>
      <c r="N6" s="541"/>
      <c r="O6" s="541"/>
      <c r="P6" s="541"/>
      <c r="Q6" s="81"/>
    </row>
    <row r="7" spans="1:17">
      <c r="A7" s="81"/>
      <c r="B7" s="540" t="s">
        <v>215</v>
      </c>
      <c r="C7" s="540"/>
      <c r="D7" s="540"/>
      <c r="E7" s="540"/>
      <c r="F7" s="540"/>
      <c r="G7" s="540"/>
      <c r="H7" s="540"/>
      <c r="I7" s="81"/>
      <c r="J7" s="540" t="s">
        <v>216</v>
      </c>
      <c r="K7" s="540"/>
      <c r="L7" s="540"/>
      <c r="M7" s="540"/>
      <c r="N7" s="540"/>
      <c r="O7" s="540"/>
      <c r="P7" s="540"/>
      <c r="Q7" s="81"/>
    </row>
    <row r="8" spans="1:17">
      <c r="A8" s="82" t="s">
        <v>45</v>
      </c>
      <c r="B8" s="83" t="s">
        <v>46</v>
      </c>
      <c r="C8" s="83"/>
      <c r="D8" s="83" t="s">
        <v>47</v>
      </c>
      <c r="E8" s="83"/>
      <c r="F8" s="83" t="s">
        <v>48</v>
      </c>
      <c r="G8" s="83"/>
      <c r="H8" s="83" t="s">
        <v>50</v>
      </c>
      <c r="I8" s="123"/>
      <c r="J8" s="83" t="s">
        <v>51</v>
      </c>
      <c r="K8" s="83"/>
      <c r="L8" s="83" t="s">
        <v>131</v>
      </c>
      <c r="M8" s="83"/>
      <c r="N8" s="83" t="s">
        <v>217</v>
      </c>
      <c r="O8" s="83"/>
      <c r="P8" s="83" t="s">
        <v>218</v>
      </c>
      <c r="Q8" s="84"/>
    </row>
    <row r="9" spans="1:17">
      <c r="A9" s="123"/>
      <c r="B9" s="123" t="s">
        <v>202</v>
      </c>
      <c r="C9" s="123"/>
      <c r="D9" s="123"/>
      <c r="E9" s="123"/>
      <c r="F9" s="123" t="s">
        <v>55</v>
      </c>
      <c r="G9" s="123"/>
      <c r="H9" s="123"/>
      <c r="I9" s="123"/>
      <c r="J9" s="123" t="s">
        <v>202</v>
      </c>
      <c r="K9" s="123"/>
      <c r="L9" s="123"/>
      <c r="M9" s="123"/>
      <c r="N9" s="123" t="s">
        <v>55</v>
      </c>
      <c r="O9" s="123"/>
      <c r="P9" s="123"/>
      <c r="Q9" s="84"/>
    </row>
    <row r="10" spans="1:17">
      <c r="A10" s="123" t="s">
        <v>54</v>
      </c>
      <c r="B10" s="123" t="s">
        <v>55</v>
      </c>
      <c r="C10" s="123"/>
      <c r="D10" s="123" t="s">
        <v>63</v>
      </c>
      <c r="E10" s="123"/>
      <c r="F10" s="123" t="s">
        <v>219</v>
      </c>
      <c r="G10" s="123"/>
      <c r="H10" s="123" t="s">
        <v>63</v>
      </c>
      <c r="I10" s="123"/>
      <c r="J10" s="123" t="s">
        <v>55</v>
      </c>
      <c r="K10" s="123"/>
      <c r="L10" s="123" t="s">
        <v>63</v>
      </c>
      <c r="M10" s="123"/>
      <c r="N10" s="123" t="s">
        <v>219</v>
      </c>
      <c r="O10" s="123"/>
      <c r="P10" s="123" t="s">
        <v>63</v>
      </c>
      <c r="Q10" s="84"/>
    </row>
    <row r="11" spans="1:17">
      <c r="A11" s="85" t="s">
        <v>8</v>
      </c>
      <c r="B11" s="85" t="s">
        <v>210</v>
      </c>
      <c r="C11" s="85"/>
      <c r="D11" s="85" t="s">
        <v>205</v>
      </c>
      <c r="E11" s="85"/>
      <c r="F11" s="85" t="s">
        <v>220</v>
      </c>
      <c r="G11" s="85"/>
      <c r="H11" s="85" t="s">
        <v>205</v>
      </c>
      <c r="I11" s="123"/>
      <c r="J11" s="85" t="s">
        <v>210</v>
      </c>
      <c r="K11" s="85"/>
      <c r="L11" s="85" t="s">
        <v>205</v>
      </c>
      <c r="M11" s="85"/>
      <c r="N11" s="85" t="s">
        <v>220</v>
      </c>
      <c r="O11" s="85"/>
      <c r="P11" s="85" t="s">
        <v>205</v>
      </c>
      <c r="Q11" s="84"/>
    </row>
    <row r="12" spans="1:17">
      <c r="A12" s="81"/>
      <c r="B12" s="81"/>
      <c r="C12" s="81"/>
      <c r="D12" s="81"/>
      <c r="E12" s="81"/>
      <c r="F12" s="81"/>
      <c r="G12" s="81"/>
      <c r="H12" s="81"/>
      <c r="I12" s="81"/>
      <c r="J12" s="81"/>
      <c r="K12" s="81"/>
      <c r="L12" s="81"/>
      <c r="M12" s="81"/>
      <c r="N12" s="81"/>
      <c r="O12" s="81"/>
      <c r="P12" s="81"/>
      <c r="Q12" s="81"/>
    </row>
    <row r="13" spans="1:17">
      <c r="A13" s="84">
        <v>2005</v>
      </c>
      <c r="B13" s="269">
        <f>'Exhibit 6.3'!D25</f>
        <v>28648.834679674088</v>
      </c>
      <c r="C13" s="86"/>
      <c r="D13" s="87" t="s">
        <v>32</v>
      </c>
      <c r="E13" s="88"/>
      <c r="F13" s="269">
        <f>INDEX('Exhibit 6.3'!$H$10:$H$40,MATCH($A13,'Exhibit 6.3'!$B$10:$B$40,0))*$B13</f>
        <v>22892.639440061539</v>
      </c>
      <c r="G13" s="88"/>
      <c r="H13" s="87" t="s">
        <v>32</v>
      </c>
      <c r="I13" s="81"/>
      <c r="J13" s="428">
        <v>27174.794783431676</v>
      </c>
      <c r="K13" s="86"/>
      <c r="L13" s="87" t="s">
        <v>32</v>
      </c>
      <c r="M13" s="88"/>
      <c r="N13" s="269">
        <f>INDEX('Exhibit 6.3'!$H$10:$H$40,MATCH($A13,'Exhibit 6.3'!$B$10:$B$40,0))*$J13</f>
        <v>21714.767312198532</v>
      </c>
      <c r="O13" s="88"/>
      <c r="P13" s="87" t="s">
        <v>32</v>
      </c>
      <c r="Q13" s="81"/>
    </row>
    <row r="14" spans="1:17">
      <c r="A14" s="84">
        <f>A13+1</f>
        <v>2006</v>
      </c>
      <c r="B14" s="269">
        <f>'Exhibit 6.3'!D26</f>
        <v>31176.627024902544</v>
      </c>
      <c r="C14" s="86"/>
      <c r="D14" s="88">
        <f t="shared" ref="D14:D26" si="0">B14/B13-1</f>
        <v>8.8233688158418699E-2</v>
      </c>
      <c r="E14" s="88"/>
      <c r="F14" s="269">
        <f>INDEX('Exhibit 6.3'!$H$10:$H$40,MATCH($A14,'Exhibit 6.3'!$B$10:$B$40,0))*$B14</f>
        <v>24813.214153283458</v>
      </c>
      <c r="G14" s="88"/>
      <c r="H14" s="88">
        <f t="shared" ref="H14:H23" si="1">F14/F13-1</f>
        <v>8.3894857045665239E-2</v>
      </c>
      <c r="I14" s="81"/>
      <c r="J14" s="428">
        <v>29261.237392625986</v>
      </c>
      <c r="K14" s="86"/>
      <c r="L14" s="88">
        <f t="shared" ref="L14:L23" si="2">J14/J13-1</f>
        <v>7.6778596704119462E-2</v>
      </c>
      <c r="M14" s="88"/>
      <c r="N14" s="269">
        <f>INDEX('Exhibit 6.3'!$H$10:$H$40,MATCH($A14,'Exhibit 6.3'!$B$10:$B$40,0))*$J14</f>
        <v>23288.771720986511</v>
      </c>
      <c r="O14" s="88"/>
      <c r="P14" s="88">
        <f t="shared" ref="P14:P23" si="3">N14/N13-1</f>
        <v>7.2485437497815663E-2</v>
      </c>
      <c r="Q14" s="81"/>
    </row>
    <row r="15" spans="1:17">
      <c r="A15" s="84">
        <f t="shared" ref="A15:A28" si="4">A14+1</f>
        <v>2007</v>
      </c>
      <c r="B15" s="269">
        <f>'Exhibit 6.3'!D27</f>
        <v>34722.565717915393</v>
      </c>
      <c r="C15" s="86"/>
      <c r="D15" s="88">
        <f t="shared" si="0"/>
        <v>0.11373708548331751</v>
      </c>
      <c r="E15" s="88"/>
      <c r="F15" s="269">
        <f>INDEX('Exhibit 6.3'!$H$10:$H$40,MATCH($A15,'Exhibit 6.3'!$B$10:$B$40,0))*$B15</f>
        <v>27119.6355830332</v>
      </c>
      <c r="G15" s="88"/>
      <c r="H15" s="88">
        <f t="shared" si="1"/>
        <v>9.2951336957068031E-2</v>
      </c>
      <c r="I15" s="81"/>
      <c r="J15" s="428">
        <v>32450.647271505979</v>
      </c>
      <c r="K15" s="86"/>
      <c r="L15" s="88">
        <f t="shared" si="2"/>
        <v>0.10899777873658012</v>
      </c>
      <c r="M15" s="88"/>
      <c r="N15" s="269">
        <f>INDEX('Exhibit 6.3'!$H$10:$H$40,MATCH($A15,'Exhibit 6.3'!$B$10:$B$40,0))*$J15</f>
        <v>25345.181447312341</v>
      </c>
      <c r="O15" s="88"/>
      <c r="P15" s="88">
        <f t="shared" si="3"/>
        <v>8.8300480204059451E-2</v>
      </c>
      <c r="Q15" s="81"/>
    </row>
    <row r="16" spans="1:17">
      <c r="A16" s="84">
        <f t="shared" si="4"/>
        <v>2008</v>
      </c>
      <c r="B16" s="269">
        <f>'Exhibit 6.3'!D28</f>
        <v>37387.869547823895</v>
      </c>
      <c r="C16" s="86"/>
      <c r="D16" s="88">
        <f t="shared" si="0"/>
        <v>7.6759990939647471E-2</v>
      </c>
      <c r="E16" s="88"/>
      <c r="F16" s="269">
        <f>INDEX('Exhibit 6.3'!$H$10:$H$40,MATCH($A16,'Exhibit 6.3'!$B$10:$B$40,0))*$B16</f>
        <v>29084.882694365137</v>
      </c>
      <c r="G16" s="88"/>
      <c r="H16" s="88">
        <f t="shared" si="1"/>
        <v>7.2465837725395277E-2</v>
      </c>
      <c r="I16" s="81"/>
      <c r="J16" s="428">
        <v>34157.613435660271</v>
      </c>
      <c r="K16" s="86"/>
      <c r="L16" s="88">
        <f t="shared" si="2"/>
        <v>5.2601914219847723E-2</v>
      </c>
      <c r="M16" s="88"/>
      <c r="N16" s="269">
        <f>INDEX('Exhibit 6.3'!$H$10:$H$40,MATCH($A16,'Exhibit 6.3'!$B$10:$B$40,0))*$J16</f>
        <v>26571.992250718467</v>
      </c>
      <c r="O16" s="88"/>
      <c r="P16" s="88">
        <f t="shared" si="3"/>
        <v>4.8404104186684282E-2</v>
      </c>
      <c r="Q16" s="81"/>
    </row>
    <row r="17" spans="1:17">
      <c r="A17" s="84">
        <f t="shared" si="4"/>
        <v>2009</v>
      </c>
      <c r="B17" s="269">
        <f>'Exhibit 6.3'!D29</f>
        <v>39240.898997387922</v>
      </c>
      <c r="C17" s="86"/>
      <c r="D17" s="88">
        <f t="shared" si="0"/>
        <v>4.9562317189369764E-2</v>
      </c>
      <c r="E17" s="88"/>
      <c r="F17" s="269">
        <f>INDEX('Exhibit 6.3'!$H$10:$H$40,MATCH($A17,'Exhibit 6.3'!$B$10:$B$40,0))*$B17</f>
        <v>30404.777764819595</v>
      </c>
      <c r="G17" s="88"/>
      <c r="H17" s="88">
        <f t="shared" si="1"/>
        <v>4.5380794013316628E-2</v>
      </c>
      <c r="I17" s="81"/>
      <c r="J17" s="428">
        <v>36007.267596402104</v>
      </c>
      <c r="K17" s="86"/>
      <c r="L17" s="88">
        <f t="shared" si="2"/>
        <v>5.415056775631788E-2</v>
      </c>
      <c r="M17" s="88"/>
      <c r="N17" s="269">
        <f>INDEX('Exhibit 6.3'!$H$10:$H$40,MATCH($A17,'Exhibit 6.3'!$B$10:$B$40,0))*$J17</f>
        <v>27899.283583178632</v>
      </c>
      <c r="O17" s="88"/>
      <c r="P17" s="88">
        <f t="shared" si="3"/>
        <v>4.9950764697527683E-2</v>
      </c>
      <c r="Q17" s="81"/>
    </row>
    <row r="18" spans="1:17">
      <c r="A18" s="84">
        <f t="shared" si="4"/>
        <v>2010</v>
      </c>
      <c r="B18" s="269">
        <f>'Exhibit 6.3'!D30</f>
        <v>39397.231117767929</v>
      </c>
      <c r="C18" s="86"/>
      <c r="D18" s="88">
        <f t="shared" si="0"/>
        <v>3.9839077180778837E-3</v>
      </c>
      <c r="E18" s="88"/>
      <c r="F18" s="269">
        <f>INDEX('Exhibit 6.3'!$H$10:$H$40,MATCH($A18,'Exhibit 6.3'!$B$10:$B$40,0))*$B18</f>
        <v>30434.603782276474</v>
      </c>
      <c r="G18" s="88"/>
      <c r="H18" s="88">
        <f t="shared" si="1"/>
        <v>9.80964823606989E-4</v>
      </c>
      <c r="I18" s="81"/>
      <c r="J18" s="428">
        <v>36114.602625061241</v>
      </c>
      <c r="K18" s="89"/>
      <c r="L18" s="90">
        <f t="shared" si="2"/>
        <v>2.9809267912865867E-3</v>
      </c>
      <c r="M18" s="90"/>
      <c r="N18" s="269">
        <f>INDEX('Exhibit 6.3'!$H$10:$H$40,MATCH($A18,'Exhibit 6.3'!$B$10:$B$40,0))*$J18</f>
        <v>27898.753045931637</v>
      </c>
      <c r="O18" s="90"/>
      <c r="P18" s="88">
        <f t="shared" si="3"/>
        <v>-1.9016160232698809E-5</v>
      </c>
      <c r="Q18" s="81"/>
    </row>
    <row r="19" spans="1:17">
      <c r="A19" s="84">
        <f t="shared" si="4"/>
        <v>2011</v>
      </c>
      <c r="B19" s="427">
        <v>38982.611094476822</v>
      </c>
      <c r="C19" s="86"/>
      <c r="D19" s="88">
        <f t="shared" si="0"/>
        <v>-1.0524090438023603E-2</v>
      </c>
      <c r="E19" s="88"/>
      <c r="F19" s="269">
        <f>INDEX('Exhibit 6.3'!$H$10:$H$40,MATCH($A19,'Exhibit 6.3'!$B$10:$B$40,0))*$B19</f>
        <v>30952.819129854135</v>
      </c>
      <c r="G19" s="88"/>
      <c r="H19" s="88">
        <f t="shared" si="1"/>
        <v>1.7027175753128843E-2</v>
      </c>
      <c r="I19" s="81"/>
      <c r="J19" s="86">
        <f>'Exhibit 6.3'!D31</f>
        <v>35614.728986325899</v>
      </c>
      <c r="K19" s="86"/>
      <c r="L19" s="88">
        <f t="shared" si="2"/>
        <v>-1.3841316320851949E-2</v>
      </c>
      <c r="M19" s="88"/>
      <c r="N19" s="269">
        <f>INDEX('Exhibit 6.3'!$H$10:$H$40,MATCH($A19,'Exhibit 6.3'!$B$10:$B$40,0))*$J19</f>
        <v>28278.666659881768</v>
      </c>
      <c r="O19" s="88"/>
      <c r="P19" s="88">
        <f t="shared" si="3"/>
        <v>1.3617584030535479E-2</v>
      </c>
      <c r="Q19" s="81"/>
    </row>
    <row r="20" spans="1:17">
      <c r="A20" s="84">
        <f t="shared" si="4"/>
        <v>2012</v>
      </c>
      <c r="B20" s="427">
        <v>36508.339004454087</v>
      </c>
      <c r="C20" s="86"/>
      <c r="D20" s="88">
        <f t="shared" si="0"/>
        <v>-6.3471173955643501E-2</v>
      </c>
      <c r="E20" s="88"/>
      <c r="F20" s="269">
        <f>INDEX('Exhibit 6.3'!$H$10:$H$40,MATCH($A20,'Exhibit 6.3'!$B$10:$B$40,0))*$B20</f>
        <v>30644.706999292346</v>
      </c>
      <c r="G20" s="88"/>
      <c r="H20" s="88">
        <f t="shared" si="1"/>
        <v>-9.9542509930738987E-3</v>
      </c>
      <c r="I20" s="81"/>
      <c r="J20" s="86">
        <f>'Exhibit 6.3'!D32</f>
        <v>33423.234883669254</v>
      </c>
      <c r="K20" s="86"/>
      <c r="L20" s="88">
        <f t="shared" si="2"/>
        <v>-6.1533364566611182E-2</v>
      </c>
      <c r="M20" s="88"/>
      <c r="N20" s="269">
        <f>INDEX('Exhibit 6.3'!$H$10:$H$40,MATCH($A20,'Exhibit 6.3'!$B$10:$B$40,0))*$J20</f>
        <v>28055.103790222049</v>
      </c>
      <c r="O20" s="88"/>
      <c r="P20" s="88">
        <f t="shared" si="3"/>
        <v>-7.9057075904106489E-3</v>
      </c>
      <c r="Q20" s="81"/>
    </row>
    <row r="21" spans="1:17">
      <c r="A21" s="84">
        <f t="shared" si="4"/>
        <v>2013</v>
      </c>
      <c r="B21" s="427">
        <v>33691.914759820713</v>
      </c>
      <c r="C21" s="86"/>
      <c r="D21" s="88">
        <f t="shared" si="0"/>
        <v>-7.7144683144575898E-2</v>
      </c>
      <c r="E21" s="88"/>
      <c r="F21" s="269">
        <f>INDEX('Exhibit 6.3'!$H$10:$H$40,MATCH($A21,'Exhibit 6.3'!$B$10:$B$40,0))*$B21</f>
        <v>31114.954195335031</v>
      </c>
      <c r="G21" s="88"/>
      <c r="H21" s="88">
        <f t="shared" si="1"/>
        <v>1.534513598232623E-2</v>
      </c>
      <c r="I21" s="81"/>
      <c r="J21" s="86">
        <f>'Exhibit 6.3'!D33</f>
        <v>30765.528998079146</v>
      </c>
      <c r="K21" s="86"/>
      <c r="L21" s="88">
        <f t="shared" si="2"/>
        <v>-7.9516716285552458E-2</v>
      </c>
      <c r="M21" s="88"/>
      <c r="N21" s="269">
        <f>INDEX('Exhibit 6.3'!$H$10:$H$40,MATCH($A21,'Exhibit 6.3'!$B$10:$B$40,0))*$J21</f>
        <v>28412.396042034215</v>
      </c>
      <c r="O21" s="88"/>
      <c r="P21" s="88">
        <f t="shared" si="3"/>
        <v>1.2735374443230363E-2</v>
      </c>
      <c r="Q21" s="81"/>
    </row>
    <row r="22" spans="1:17">
      <c r="A22" s="84">
        <f t="shared" si="4"/>
        <v>2014</v>
      </c>
      <c r="B22" s="427">
        <v>32810.331081632336</v>
      </c>
      <c r="C22" s="86"/>
      <c r="D22" s="88">
        <f t="shared" si="0"/>
        <v>-2.6166030766518245E-2</v>
      </c>
      <c r="E22" s="88"/>
      <c r="F22" s="269">
        <f>INDEX('Exhibit 6.3'!$H$10:$H$40,MATCH($A22,'Exhibit 6.3'!$B$10:$B$40,0))*$B22</f>
        <v>32275.821410300177</v>
      </c>
      <c r="G22" s="88"/>
      <c r="H22" s="88">
        <f t="shared" si="1"/>
        <v>3.7308980359649357E-2</v>
      </c>
      <c r="I22" s="81"/>
      <c r="J22" s="86">
        <f>'Exhibit 6.3'!D34</f>
        <v>29993.671958966373</v>
      </c>
      <c r="K22" s="86"/>
      <c r="L22" s="88">
        <f t="shared" si="2"/>
        <v>-2.5088372092056832E-2</v>
      </c>
      <c r="M22" s="88"/>
      <c r="N22" s="269">
        <f>INDEX('Exhibit 6.3'!$H$10:$H$40,MATCH($A22,'Exhibit 6.3'!$B$10:$B$40,0))*$J22</f>
        <v>29505.048186748281</v>
      </c>
      <c r="O22" s="88"/>
      <c r="P22" s="88">
        <f t="shared" si="3"/>
        <v>3.8456881394218323E-2</v>
      </c>
      <c r="Q22" s="81"/>
    </row>
    <row r="23" spans="1:17">
      <c r="A23" s="84">
        <f t="shared" si="4"/>
        <v>2015</v>
      </c>
      <c r="B23" s="427">
        <v>31550.089936948145</v>
      </c>
      <c r="C23" s="86"/>
      <c r="D23" s="88">
        <f t="shared" si="0"/>
        <v>-3.8409888079114496E-2</v>
      </c>
      <c r="E23" s="88"/>
      <c r="F23" s="269">
        <f>INDEX('Exhibit 6.3'!$H$10:$H$40,MATCH($A23,'Exhibit 6.3'!$B$10:$B$40,0))*$B23</f>
        <v>31800.988087755763</v>
      </c>
      <c r="G23" s="88"/>
      <c r="H23" s="88">
        <f t="shared" si="1"/>
        <v>-1.4711734722663961E-2</v>
      </c>
      <c r="I23" s="81"/>
      <c r="J23" s="86">
        <f>'Exhibit 6.3'!D35</f>
        <v>28937.83112784363</v>
      </c>
      <c r="K23" s="86"/>
      <c r="L23" s="88">
        <f t="shared" si="2"/>
        <v>-3.5202119719359937E-2</v>
      </c>
      <c r="M23" s="88"/>
      <c r="N23" s="269">
        <f>INDEX('Exhibit 6.3'!$H$10:$H$40,MATCH($A23,'Exhibit 6.3'!$B$10:$B$40,0))*$J23</f>
        <v>29167.95561664442</v>
      </c>
      <c r="O23" s="88"/>
      <c r="P23" s="88">
        <f t="shared" si="3"/>
        <v>-1.1424911695459006E-2</v>
      </c>
      <c r="Q23" s="81"/>
    </row>
    <row r="24" spans="1:17">
      <c r="A24" s="84">
        <f t="shared" si="4"/>
        <v>2016</v>
      </c>
      <c r="B24" s="427">
        <v>30245.586957730065</v>
      </c>
      <c r="C24" s="86"/>
      <c r="D24" s="88">
        <f t="shared" si="0"/>
        <v>-4.1347044709700853E-2</v>
      </c>
      <c r="E24" s="88"/>
      <c r="F24" s="269">
        <f>INDEX('Exhibit 6.3'!$H$10:$H$40,MATCH($A24,'Exhibit 6.3'!$B$10:$B$40,0))*$B24</f>
        <v>30578.703525754645</v>
      </c>
      <c r="G24" s="88"/>
      <c r="H24" s="88">
        <f>F24/F23-1</f>
        <v>-3.843542718321169E-2</v>
      </c>
      <c r="I24" s="81"/>
      <c r="J24" s="86">
        <f>'Exhibit 6.3'!D36</f>
        <v>27814.357518649038</v>
      </c>
      <c r="K24" s="86"/>
      <c r="L24" s="88">
        <f>J24/J23-1</f>
        <v>-3.8823697748156416E-2</v>
      </c>
      <c r="M24" s="88"/>
      <c r="N24" s="269">
        <f>INDEX('Exhibit 6.3'!$H$10:$H$40,MATCH($A24,'Exhibit 6.3'!$B$10:$B$40,0))*$J24</f>
        <v>28120.697194958509</v>
      </c>
      <c r="O24" s="88"/>
      <c r="P24" s="88">
        <f>N24/N23-1</f>
        <v>-3.5904416320775789E-2</v>
      </c>
      <c r="Q24" s="81"/>
    </row>
    <row r="25" spans="1:17">
      <c r="A25" s="84">
        <f t="shared" si="4"/>
        <v>2017</v>
      </c>
      <c r="B25" s="427">
        <v>29986.127230563176</v>
      </c>
      <c r="C25" s="86"/>
      <c r="D25" s="88">
        <f t="shared" si="0"/>
        <v>-8.5784325339594014E-3</v>
      </c>
      <c r="E25" s="88"/>
      <c r="F25" s="269">
        <f>INDEX('Exhibit 6.3'!$H$10:$H$40,MATCH($A25,'Exhibit 6.3'!$B$10:$B$40,0))*$B25</f>
        <v>30407.914001728212</v>
      </c>
      <c r="G25" s="88"/>
      <c r="H25" s="88">
        <f t="shared" ref="H25:H26" si="5">F25/F24-1</f>
        <v>-5.5852441187569379E-3</v>
      </c>
      <c r="I25" s="81"/>
      <c r="J25" s="86">
        <f>'Exhibit 6.3'!D37</f>
        <v>27547.440737874676</v>
      </c>
      <c r="K25" s="86"/>
      <c r="L25" s="88">
        <f>J25/J24-1</f>
        <v>-9.5963669337103541E-3</v>
      </c>
      <c r="M25" s="88"/>
      <c r="N25" s="269">
        <f>INDEX('Exhibit 6.3'!$H$10:$H$40,MATCH($A25,'Exhibit 6.3'!$B$10:$B$40,0))*$J25</f>
        <v>27934.924789861408</v>
      </c>
      <c r="O25" s="88"/>
      <c r="P25" s="88">
        <f t="shared" ref="P25:P26" si="6">N25/N24-1</f>
        <v>-6.6062517514824393E-3</v>
      </c>
      <c r="Q25" s="81"/>
    </row>
    <row r="26" spans="1:17">
      <c r="A26" s="84">
        <f t="shared" si="4"/>
        <v>2018</v>
      </c>
      <c r="B26" s="427">
        <v>31532.057035266524</v>
      </c>
      <c r="C26" s="86"/>
      <c r="D26" s="88">
        <f t="shared" si="0"/>
        <v>5.1554833767518682E-2</v>
      </c>
      <c r="E26" s="88"/>
      <c r="F26" s="269">
        <f>INDEX('Exhibit 6.3'!$H$10:$H$40,MATCH($A26,'Exhibit 6.3'!$B$10:$B$40,0))*$B26</f>
        <v>32007.788788825867</v>
      </c>
      <c r="G26" s="88"/>
      <c r="H26" s="88">
        <f t="shared" si="5"/>
        <v>5.2613763213311016E-2</v>
      </c>
      <c r="I26" s="81"/>
      <c r="J26" s="86">
        <f>'Exhibit 6.3'!D38</f>
        <v>28892.089116297804</v>
      </c>
      <c r="K26" s="86"/>
      <c r="L26" s="88">
        <f t="shared" ref="L26" si="7">J26/J25-1</f>
        <v>4.881209805360931E-2</v>
      </c>
      <c r="M26" s="88"/>
      <c r="N26" s="269">
        <f>INDEX('Exhibit 6.3'!$H$10:$H$40,MATCH($A26,'Exhibit 6.3'!$B$10:$B$40,0))*$J26</f>
        <v>29327.991036807351</v>
      </c>
      <c r="O26" s="88"/>
      <c r="P26" s="88">
        <f t="shared" si="6"/>
        <v>4.9868265528731026E-2</v>
      </c>
      <c r="Q26" s="81"/>
    </row>
    <row r="27" spans="1:17">
      <c r="A27" s="84">
        <f t="shared" si="4"/>
        <v>2019</v>
      </c>
      <c r="B27" s="427">
        <v>31070.096529930761</v>
      </c>
      <c r="C27" s="86"/>
      <c r="D27" s="88">
        <f t="shared" ref="D27:D28" si="8">B27/B26-1</f>
        <v>-1.4650503290003947E-2</v>
      </c>
      <c r="E27" s="88"/>
      <c r="F27" s="269">
        <f>INDEX('Exhibit 6.3'!$H$10:$H$40,MATCH($A27,'Exhibit 6.3'!$B$10:$B$40,0))*$B27</f>
        <v>31413.20575086596</v>
      </c>
      <c r="G27" s="88"/>
      <c r="H27" s="88">
        <f t="shared" ref="H27:H28" si="9">F27/F26-1</f>
        <v>-1.8576198496019769E-2</v>
      </c>
      <c r="I27" s="81"/>
      <c r="J27" s="86">
        <f>'Exhibit 6.3'!D39</f>
        <v>28261.391745640936</v>
      </c>
      <c r="K27" s="86"/>
      <c r="L27" s="88">
        <f t="shared" ref="L27:L28" si="10">J27/J26-1</f>
        <v>-2.1829413861979785E-2</v>
      </c>
      <c r="M27" s="88"/>
      <c r="N27" s="269">
        <f>INDEX('Exhibit 6.3'!$H$10:$H$40,MATCH($A27,'Exhibit 6.3'!$B$10:$B$40,0))*$J27</f>
        <v>28573.484245741482</v>
      </c>
      <c r="O27" s="88"/>
      <c r="P27" s="88">
        <f t="shared" ref="P27:P28" si="11">N27/N26-1</f>
        <v>-2.5726507830657219E-2</v>
      </c>
      <c r="Q27" s="81"/>
    </row>
    <row r="28" spans="1:17">
      <c r="A28" s="84">
        <f t="shared" si="4"/>
        <v>2020</v>
      </c>
      <c r="B28" s="427">
        <v>30266.66194278526</v>
      </c>
      <c r="C28" s="86"/>
      <c r="D28" s="88">
        <f t="shared" si="8"/>
        <v>-2.5858773447051453E-2</v>
      </c>
      <c r="E28" s="88"/>
      <c r="F28" s="269">
        <f>INDEX('Exhibit 6.3'!$H$10:$H$40,MATCH($A28,'Exhibit 6.3'!$B$10:$B$40,0))*$B28</f>
        <v>30478.982848713844</v>
      </c>
      <c r="G28" s="88"/>
      <c r="H28" s="88">
        <f t="shared" si="9"/>
        <v>-2.973981419029037E-2</v>
      </c>
      <c r="I28" s="81"/>
      <c r="J28" s="86">
        <f>'Exhibit 6.3'!D40</f>
        <v>27515.872235162617</v>
      </c>
      <c r="K28" s="86"/>
      <c r="L28" s="88">
        <f t="shared" si="10"/>
        <v>-2.6379433723157319E-2</v>
      </c>
      <c r="M28" s="88"/>
      <c r="N28" s="269">
        <f>INDEX('Exhibit 6.3'!$H$10:$H$40,MATCH($A28,'Exhibit 6.3'!$B$10:$B$40,0))*$J28</f>
        <v>27708.896326535123</v>
      </c>
      <c r="O28" s="88"/>
      <c r="P28" s="88">
        <f t="shared" si="11"/>
        <v>-3.0258400122666673E-2</v>
      </c>
      <c r="Q28" s="81"/>
    </row>
    <row r="29" spans="1:17">
      <c r="A29" s="123"/>
      <c r="B29" s="81"/>
      <c r="C29" s="81"/>
      <c r="D29" s="81"/>
      <c r="E29" s="81"/>
      <c r="F29" s="86"/>
      <c r="G29" s="81"/>
      <c r="H29" s="81"/>
      <c r="I29" s="81"/>
      <c r="J29" s="81"/>
      <c r="K29" s="81"/>
      <c r="L29" s="81"/>
      <c r="M29" s="81"/>
      <c r="N29" s="81"/>
      <c r="O29" s="81"/>
      <c r="P29" s="81"/>
      <c r="Q29" s="81"/>
    </row>
    <row r="30" spans="1:17">
      <c r="A30" s="81" t="s">
        <v>257</v>
      </c>
      <c r="B30" s="81"/>
      <c r="C30" s="81"/>
      <c r="D30" s="81"/>
      <c r="E30" s="81"/>
      <c r="F30" s="81"/>
      <c r="G30" s="81"/>
      <c r="H30" s="81"/>
      <c r="I30" s="81"/>
      <c r="J30" s="81"/>
      <c r="K30" s="81"/>
      <c r="L30" s="81"/>
      <c r="M30" s="81"/>
      <c r="N30" s="81"/>
      <c r="O30" s="81"/>
      <c r="P30" s="81"/>
      <c r="Q30" s="81"/>
    </row>
    <row r="31" spans="1:17">
      <c r="A31" s="91" t="str">
        <f>"Trend Based on 1990 to "&amp;$A$28&amp;":"</f>
        <v>Trend Based on 1990 to 2020:</v>
      </c>
      <c r="B31" s="81"/>
      <c r="C31" s="81"/>
      <c r="D31" s="81"/>
      <c r="E31" s="81"/>
      <c r="F31" s="81"/>
      <c r="G31" s="81"/>
      <c r="H31" s="324">
        <v>5.1497267036020977E-2</v>
      </c>
      <c r="I31" s="81"/>
      <c r="J31" s="81"/>
      <c r="K31" s="81"/>
      <c r="L31" s="81"/>
      <c r="M31" s="81"/>
      <c r="N31" s="81"/>
      <c r="O31" s="81"/>
      <c r="P31" s="289" t="s">
        <v>358</v>
      </c>
      <c r="Q31" s="81"/>
    </row>
    <row r="32" spans="1:17">
      <c r="A32" s="91" t="str">
        <f>"Trend Based on "&amp;$A$13&amp;" to "&amp;$A$27&amp;":"</f>
        <v>Trend Based on 2005 to 2019:</v>
      </c>
      <c r="B32" s="91"/>
      <c r="C32" s="91"/>
      <c r="D32" s="92"/>
      <c r="E32" s="92"/>
      <c r="G32" s="92"/>
      <c r="H32" s="92">
        <f>LOGEST(F$13:F$27)-1</f>
        <v>1.7190612124283744E-2</v>
      </c>
      <c r="I32" s="91"/>
      <c r="J32" s="91"/>
      <c r="K32" s="91"/>
      <c r="L32" s="92"/>
      <c r="M32" s="92"/>
      <c r="O32" s="88"/>
      <c r="P32" s="92">
        <f>LOGEST(N$13:N$27)-1</f>
        <v>1.5359462387459999E-2</v>
      </c>
      <c r="Q32" s="81"/>
    </row>
    <row r="33" spans="1:17">
      <c r="A33" s="91" t="str">
        <f>"Trend Based on "&amp;$A$23&amp;" to "&amp;$A$27&amp;":"</f>
        <v>Trend Based on 2015 to 2019:</v>
      </c>
      <c r="B33" s="91"/>
      <c r="C33" s="91"/>
      <c r="D33" s="92"/>
      <c r="E33" s="92"/>
      <c r="G33" s="92"/>
      <c r="H33" s="92">
        <f>LOGEST(F$23:F$27)-1</f>
        <v>2.115984193644227E-3</v>
      </c>
      <c r="I33" s="91"/>
      <c r="J33" s="91"/>
      <c r="K33" s="91"/>
      <c r="L33" s="92"/>
      <c r="M33" s="92"/>
      <c r="O33" s="88"/>
      <c r="P33" s="92">
        <f>LOGEST(N$23:N$27)-1</f>
        <v>8.5349613379914757E-5</v>
      </c>
      <c r="Q33" s="81"/>
    </row>
    <row r="34" spans="1:17">
      <c r="A34" s="81"/>
      <c r="B34" s="81"/>
      <c r="C34" s="81"/>
      <c r="D34" s="81"/>
      <c r="E34" s="81"/>
      <c r="F34" s="81"/>
      <c r="G34" s="81"/>
      <c r="H34" s="81"/>
      <c r="I34" s="81"/>
      <c r="J34" s="81"/>
      <c r="K34" s="81"/>
      <c r="L34" s="81"/>
      <c r="M34" s="81"/>
      <c r="N34" s="81"/>
      <c r="O34" s="81"/>
      <c r="P34" s="81"/>
      <c r="Q34" s="81"/>
    </row>
    <row r="35" spans="1:17">
      <c r="A35" s="81"/>
      <c r="B35" s="81"/>
      <c r="C35" s="81"/>
      <c r="D35" s="81"/>
      <c r="E35" s="81"/>
      <c r="F35" s="81"/>
      <c r="G35" s="81"/>
      <c r="H35" s="81"/>
      <c r="I35" s="81" t="s">
        <v>221</v>
      </c>
      <c r="J35" s="81"/>
      <c r="K35" s="81"/>
      <c r="L35" s="81"/>
      <c r="M35" s="81"/>
      <c r="O35" s="81"/>
      <c r="P35" s="324">
        <v>0.01</v>
      </c>
      <c r="Q35" s="81"/>
    </row>
    <row r="36" spans="1:17" ht="12.75" customHeight="1">
      <c r="A36" s="81"/>
      <c r="B36" s="81"/>
      <c r="C36" s="81"/>
      <c r="D36" s="81"/>
      <c r="E36" s="81"/>
      <c r="F36" s="81"/>
      <c r="G36" s="81"/>
      <c r="H36" s="81"/>
      <c r="I36" s="81"/>
      <c r="J36" s="81"/>
      <c r="K36" s="81"/>
      <c r="L36" s="81"/>
      <c r="M36" s="81"/>
      <c r="N36" s="81"/>
      <c r="O36" s="81"/>
      <c r="P36" s="81"/>
      <c r="Q36" s="81"/>
    </row>
    <row r="37" spans="1:17" ht="12.75" customHeight="1">
      <c r="A37" s="293" t="s">
        <v>365</v>
      </c>
      <c r="B37" s="291"/>
      <c r="C37" s="291"/>
      <c r="D37" s="291"/>
      <c r="E37" s="291"/>
      <c r="F37" s="291"/>
      <c r="G37" s="291"/>
      <c r="H37" s="291"/>
      <c r="I37" s="291"/>
      <c r="J37" s="291"/>
      <c r="K37" s="291"/>
      <c r="L37" s="291"/>
      <c r="M37" s="291"/>
      <c r="N37" s="291"/>
      <c r="O37" s="291"/>
      <c r="P37" s="291"/>
      <c r="Q37" s="291"/>
    </row>
    <row r="38" spans="1:17" ht="12.75" customHeight="1">
      <c r="A38" s="293" t="s">
        <v>366</v>
      </c>
      <c r="B38" s="291"/>
      <c r="C38" s="291"/>
      <c r="D38" s="291"/>
      <c r="E38" s="291"/>
      <c r="F38" s="291"/>
      <c r="G38" s="291"/>
      <c r="H38" s="291"/>
      <c r="I38" s="291"/>
      <c r="J38" s="291"/>
      <c r="K38" s="291"/>
      <c r="L38" s="291"/>
      <c r="M38" s="291"/>
      <c r="N38" s="291"/>
      <c r="O38" s="291"/>
      <c r="P38" s="291"/>
      <c r="Q38" s="291"/>
    </row>
    <row r="39" spans="1:17" ht="12.75" customHeight="1">
      <c r="A39" s="293" t="s">
        <v>367</v>
      </c>
      <c r="B39" s="291"/>
      <c r="C39" s="291"/>
      <c r="D39" s="291"/>
      <c r="E39" s="291"/>
      <c r="F39" s="291"/>
      <c r="G39" s="291"/>
      <c r="H39" s="291"/>
      <c r="I39" s="291"/>
      <c r="J39" s="291"/>
      <c r="K39" s="291"/>
      <c r="L39" s="291"/>
      <c r="M39" s="291"/>
      <c r="N39" s="291"/>
      <c r="O39" s="291"/>
      <c r="P39" s="291"/>
      <c r="Q39" s="291"/>
    </row>
    <row r="40" spans="1:17" ht="12.75" customHeight="1">
      <c r="A40" s="292" t="s">
        <v>337</v>
      </c>
      <c r="B40" s="292"/>
      <c r="C40" s="292"/>
      <c r="D40" s="292"/>
      <c r="E40" s="292"/>
      <c r="F40" s="292"/>
      <c r="G40" s="292"/>
      <c r="H40" s="292"/>
      <c r="I40" s="292"/>
      <c r="J40" s="292"/>
      <c r="K40" s="292"/>
      <c r="L40" s="292"/>
      <c r="M40" s="292"/>
      <c r="N40" s="292"/>
      <c r="O40" s="292"/>
      <c r="P40" s="292"/>
      <c r="Q40" s="292"/>
    </row>
    <row r="41" spans="1:17">
      <c r="A41" s="81"/>
      <c r="B41" s="81"/>
      <c r="C41" s="81"/>
      <c r="D41" s="81"/>
      <c r="E41" s="81"/>
      <c r="F41" s="81"/>
      <c r="G41" s="81"/>
      <c r="H41" s="81"/>
      <c r="I41" s="81"/>
      <c r="J41" s="81"/>
      <c r="K41" s="81"/>
      <c r="L41" s="81"/>
      <c r="M41" s="81"/>
      <c r="N41" s="81"/>
      <c r="O41" s="81"/>
      <c r="P41" s="81"/>
      <c r="Q41" s="81"/>
    </row>
    <row r="42" spans="1:17">
      <c r="A42" s="506" t="s">
        <v>554</v>
      </c>
      <c r="B42" s="507"/>
      <c r="C42" s="507"/>
      <c r="D42" s="507"/>
      <c r="E42" s="507"/>
      <c r="F42" s="507"/>
      <c r="G42" s="507"/>
      <c r="H42" s="507"/>
      <c r="I42" s="507"/>
      <c r="J42" s="507"/>
      <c r="K42" s="507"/>
      <c r="L42" s="507"/>
      <c r="M42" s="507"/>
      <c r="N42" s="507"/>
      <c r="O42" s="507"/>
      <c r="P42" s="507"/>
      <c r="Q42" s="507"/>
    </row>
  </sheetData>
  <mergeCells count="4">
    <mergeCell ref="B7:H7"/>
    <mergeCell ref="J5:P5"/>
    <mergeCell ref="J6:P6"/>
    <mergeCell ref="J7:P7"/>
  </mergeCells>
  <printOptions horizontalCentered="1"/>
  <pageMargins left="0.5" right="0.5" top="0.75" bottom="0.75" header="0.33" footer="0.33"/>
  <pageSetup scale="74" orientation="portrait" blackAndWhite="1" horizontalDpi="1200" verticalDpi="1200" r:id="rId1"/>
  <headerFooter scaleWithDoc="0"/>
  <ignoredErrors>
    <ignoredError sqref="A8:P8" numberStoredAsText="1"/>
  </ignoredError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M53"/>
  <sheetViews>
    <sheetView zoomScaleNormal="100" zoomScaleSheetLayoutView="115" workbookViewId="0"/>
  </sheetViews>
  <sheetFormatPr defaultColWidth="9.1796875" defaultRowHeight="12.5"/>
  <cols>
    <col min="1" max="1" width="9.1796875" style="108"/>
    <col min="2" max="2" width="5.81640625" style="108" customWidth="1"/>
    <col min="3" max="3" width="17.7265625" style="108" customWidth="1"/>
    <col min="4" max="4" width="5.81640625" style="108" customWidth="1"/>
    <col min="5" max="5" width="17.7265625" style="108" customWidth="1"/>
    <col min="6" max="6" width="5.81640625" style="108" customWidth="1"/>
    <col min="7" max="7" width="17.7265625" style="108" customWidth="1"/>
    <col min="8" max="8" width="5.81640625" style="108" customWidth="1"/>
    <col min="9" max="9" width="17.7265625" style="108" customWidth="1"/>
    <col min="10" max="10" width="1.54296875" style="108" customWidth="1"/>
    <col min="11" max="11" width="9.1796875" style="108"/>
    <col min="12" max="12" width="21.54296875" style="108" customWidth="1"/>
    <col min="13" max="14" width="21.1796875" style="108" customWidth="1"/>
    <col min="15" max="16384" width="9.1796875" style="108"/>
  </cols>
  <sheetData>
    <row r="1" spans="1:10" ht="13">
      <c r="A1" s="275" t="s">
        <v>222</v>
      </c>
      <c r="B1" s="241"/>
      <c r="C1" s="241"/>
      <c r="D1" s="241"/>
      <c r="E1" s="241"/>
      <c r="F1" s="241"/>
      <c r="G1" s="241"/>
      <c r="H1" s="241"/>
      <c r="I1" s="241"/>
      <c r="J1" s="124"/>
    </row>
    <row r="2" spans="1:10" ht="13">
      <c r="A2" s="245" t="s">
        <v>223</v>
      </c>
      <c r="B2" s="241"/>
      <c r="C2" s="241"/>
      <c r="D2" s="241"/>
      <c r="E2" s="241"/>
      <c r="F2" s="241"/>
      <c r="G2" s="241"/>
      <c r="H2" s="241"/>
      <c r="I2" s="241"/>
      <c r="J2" s="121"/>
    </row>
    <row r="3" spans="1:10" ht="13">
      <c r="A3" s="245" t="s">
        <v>525</v>
      </c>
      <c r="B3" s="241"/>
      <c r="C3" s="241"/>
      <c r="D3" s="241"/>
      <c r="E3" s="241"/>
      <c r="F3" s="241"/>
      <c r="G3" s="241"/>
      <c r="H3" s="241"/>
      <c r="I3" s="241"/>
      <c r="J3" s="121"/>
    </row>
    <row r="4" spans="1:10">
      <c r="A4" s="122"/>
      <c r="B4" s="122"/>
      <c r="C4" s="122"/>
      <c r="D4" s="122"/>
      <c r="E4" s="122"/>
      <c r="F4" s="122"/>
      <c r="G4" s="122"/>
      <c r="H4" s="122"/>
      <c r="I4" s="122"/>
      <c r="J4" s="122"/>
    </row>
    <row r="5" spans="1:10">
      <c r="A5" s="122"/>
      <c r="B5" s="122"/>
      <c r="C5" s="27" t="s">
        <v>45</v>
      </c>
      <c r="D5" s="27"/>
      <c r="E5" s="27" t="s">
        <v>46</v>
      </c>
      <c r="F5" s="27"/>
      <c r="G5" s="27" t="s">
        <v>47</v>
      </c>
      <c r="H5" s="27"/>
      <c r="I5" s="122" t="s">
        <v>48</v>
      </c>
      <c r="J5" s="27"/>
    </row>
    <row r="6" spans="1:10">
      <c r="A6" s="122"/>
      <c r="B6" s="122"/>
      <c r="C6" s="69"/>
      <c r="D6" s="122"/>
      <c r="E6" s="122"/>
      <c r="F6" s="122"/>
      <c r="G6" s="122"/>
      <c r="H6" s="122"/>
      <c r="I6" s="122" t="s">
        <v>224</v>
      </c>
      <c r="J6" s="122"/>
    </row>
    <row r="7" spans="1:10">
      <c r="A7" s="61" t="s">
        <v>54</v>
      </c>
      <c r="B7" s="62"/>
      <c r="C7" s="122" t="s">
        <v>225</v>
      </c>
      <c r="D7" s="62"/>
      <c r="E7" s="61" t="s">
        <v>226</v>
      </c>
      <c r="F7" s="62"/>
      <c r="G7" s="61" t="s">
        <v>227</v>
      </c>
      <c r="H7" s="62"/>
      <c r="I7" s="122" t="s">
        <v>228</v>
      </c>
      <c r="J7" s="62"/>
    </row>
    <row r="8" spans="1:10">
      <c r="A8" s="26" t="s">
        <v>8</v>
      </c>
      <c r="B8" s="26"/>
      <c r="C8" s="26" t="s">
        <v>359</v>
      </c>
      <c r="D8" s="26"/>
      <c r="E8" s="26" t="s">
        <v>360</v>
      </c>
      <c r="F8" s="26"/>
      <c r="G8" s="26" t="s">
        <v>361</v>
      </c>
      <c r="H8" s="26"/>
      <c r="I8" s="26" t="s">
        <v>229</v>
      </c>
      <c r="J8" s="122"/>
    </row>
    <row r="9" spans="1:10">
      <c r="A9" s="122"/>
      <c r="B9" s="122"/>
      <c r="C9" s="69"/>
      <c r="D9" s="69"/>
      <c r="E9" s="69"/>
      <c r="F9" s="69"/>
      <c r="G9" s="69"/>
      <c r="H9" s="122"/>
      <c r="I9" s="122" t="s">
        <v>230</v>
      </c>
      <c r="J9" s="122"/>
    </row>
    <row r="10" spans="1:10">
      <c r="A10" s="177">
        <v>1987</v>
      </c>
      <c r="B10" s="30"/>
      <c r="C10" s="33">
        <f>+SUMIFS('Exhibit 3.1'!F:F,'Exhibit 3.1'!B:B,$A10)</f>
        <v>0.34680369183993986</v>
      </c>
      <c r="D10" s="30"/>
      <c r="E10" s="33">
        <f>+SUMIFS('Exhibit 4.1'!L:L,'Exhibit 4.1'!B:B,$A10)</f>
        <v>1.5907761471671944</v>
      </c>
      <c r="F10" s="30"/>
      <c r="G10" s="33">
        <f>SUMIFS('Exhibit 5.2'!S:S,'Exhibit 5.2'!A:A,A10)</f>
        <v>1.9323347810117277</v>
      </c>
      <c r="H10" s="30"/>
      <c r="I10" s="33">
        <f t="shared" ref="I10:I38" si="0">C10*E10/G10</f>
        <v>0.28550282598528159</v>
      </c>
      <c r="J10" s="30"/>
    </row>
    <row r="11" spans="1:10">
      <c r="A11" s="252">
        <f t="shared" ref="A11:A43" si="1">A10+1</f>
        <v>1988</v>
      </c>
      <c r="B11" s="30"/>
      <c r="C11" s="33">
        <f>+SUMIFS('Exhibit 3.1'!F:F,'Exhibit 3.1'!B:B,$A11)</f>
        <v>0.33168273793872466</v>
      </c>
      <c r="D11" s="30"/>
      <c r="E11" s="33">
        <f>+SUMIFS('Exhibit 4.1'!L:L,'Exhibit 4.1'!B:B,$A11)</f>
        <v>1.5672671400662015</v>
      </c>
      <c r="F11" s="30"/>
      <c r="G11" s="33">
        <f>SUMIFS('Exhibit 5.2'!S:S,'Exhibit 5.2'!A:A,A11)</f>
        <v>1.6933016888966541</v>
      </c>
      <c r="H11" s="30"/>
      <c r="I11" s="33">
        <f t="shared" si="0"/>
        <v>0.30699517959925632</v>
      </c>
      <c r="J11" s="30"/>
    </row>
    <row r="12" spans="1:10">
      <c r="A12" s="252">
        <f t="shared" si="1"/>
        <v>1989</v>
      </c>
      <c r="B12" s="30"/>
      <c r="C12" s="33">
        <f>+SUMIFS('Exhibit 3.1'!F:F,'Exhibit 3.1'!B:B,$A12)</f>
        <v>0.34446253671410543</v>
      </c>
      <c r="D12" s="30"/>
      <c r="E12" s="33">
        <f>+SUMIFS('Exhibit 4.1'!L:L,'Exhibit 4.1'!B:B,$A12)</f>
        <v>1.5441055567154696</v>
      </c>
      <c r="F12" s="30"/>
      <c r="G12" s="33">
        <f>SUMIFS('Exhibit 5.2'!S:S,'Exhibit 5.2'!A:A,A12)</f>
        <v>1.6287302159144059</v>
      </c>
      <c r="H12" s="30"/>
      <c r="I12" s="33">
        <f t="shared" si="0"/>
        <v>0.32656514370732881</v>
      </c>
      <c r="J12" s="30"/>
    </row>
    <row r="13" spans="1:10">
      <c r="A13" s="252">
        <f t="shared" si="1"/>
        <v>1990</v>
      </c>
      <c r="B13" s="30"/>
      <c r="C13" s="33">
        <f>+SUMIFS('Exhibit 3.1'!F:F,'Exhibit 3.1'!B:B,$A13)</f>
        <v>0.39958612976484548</v>
      </c>
      <c r="D13" s="30"/>
      <c r="E13" s="33">
        <f>+SUMIFS('Exhibit 4.1'!L:L,'Exhibit 4.1'!B:B,$A13)</f>
        <v>1.2378306045002283</v>
      </c>
      <c r="F13" s="30"/>
      <c r="G13" s="33">
        <f>SUMIFS('Exhibit 5.2'!S:S,'Exhibit 5.2'!A:A,A13)</f>
        <v>1.5140810405598364</v>
      </c>
      <c r="H13" s="30"/>
      <c r="I13" s="33">
        <f t="shared" si="0"/>
        <v>0.32667996448448894</v>
      </c>
      <c r="J13" s="30"/>
    </row>
    <row r="14" spans="1:10">
      <c r="A14" s="252">
        <f t="shared" si="1"/>
        <v>1991</v>
      </c>
      <c r="B14" s="30"/>
      <c r="C14" s="33">
        <f>+SUMIFS('Exhibit 3.1'!F:F,'Exhibit 3.1'!B:B,$A14)</f>
        <v>0.4264788379887206</v>
      </c>
      <c r="D14" s="30"/>
      <c r="E14" s="33">
        <f>+SUMIFS('Exhibit 4.1'!L:L,'Exhibit 4.1'!B:B,$A14)</f>
        <v>1.0197255658147628</v>
      </c>
      <c r="F14" s="30"/>
      <c r="G14" s="33">
        <f>SUMIFS('Exhibit 5.2'!S:S,'Exhibit 5.2'!A:A,A14)</f>
        <v>1.3704353009623589</v>
      </c>
      <c r="H14" s="30"/>
      <c r="I14" s="33">
        <f t="shared" si="0"/>
        <v>0.31733812903876418</v>
      </c>
      <c r="J14" s="30"/>
    </row>
    <row r="15" spans="1:10">
      <c r="A15" s="252">
        <f t="shared" si="1"/>
        <v>1992</v>
      </c>
      <c r="B15" s="30"/>
      <c r="C15" s="33">
        <f>+SUMIFS('Exhibit 3.1'!F:F,'Exhibit 3.1'!B:B,$A15)</f>
        <v>0.35140358482638245</v>
      </c>
      <c r="D15" s="30"/>
      <c r="E15" s="33">
        <f>+SUMIFS('Exhibit 4.1'!L:L,'Exhibit 4.1'!B:B,$A15)</f>
        <v>1.0751584837022699</v>
      </c>
      <c r="F15" s="30"/>
      <c r="G15" s="33">
        <f>SUMIFS('Exhibit 5.2'!S:S,'Exhibit 5.2'!A:A,A15)</f>
        <v>1.2461393668095124</v>
      </c>
      <c r="H15" s="30"/>
      <c r="I15" s="33">
        <f t="shared" si="0"/>
        <v>0.30318803457497134</v>
      </c>
      <c r="J15" s="30"/>
    </row>
    <row r="16" spans="1:10">
      <c r="A16" s="252">
        <f t="shared" si="1"/>
        <v>1993</v>
      </c>
      <c r="B16" s="30"/>
      <c r="C16" s="33">
        <f>+SUMIFS('Exhibit 3.1'!F:F,'Exhibit 3.1'!B:B,$A16)</f>
        <v>0.28857135818345264</v>
      </c>
      <c r="D16" s="30"/>
      <c r="E16" s="33">
        <f>+SUMIFS('Exhibit 4.1'!L:L,'Exhibit 4.1'!B:B,$A16)</f>
        <v>1.3049298031131888</v>
      </c>
      <c r="F16" s="30"/>
      <c r="G16" s="33">
        <f>SUMIFS('Exhibit 5.2'!S:S,'Exhibit 5.2'!A:A,A16)</f>
        <v>1.2053837200628927</v>
      </c>
      <c r="H16" s="30"/>
      <c r="I16" s="33">
        <f t="shared" si="0"/>
        <v>0.31240289656375186</v>
      </c>
      <c r="J16" s="30"/>
    </row>
    <row r="17" spans="1:10">
      <c r="A17" s="252">
        <f t="shared" si="1"/>
        <v>1994</v>
      </c>
      <c r="B17" s="30"/>
      <c r="C17" s="33">
        <f>+SUMIFS('Exhibit 3.1'!F:F,'Exhibit 3.1'!B:B,$A17)</f>
        <v>0.32739739026853559</v>
      </c>
      <c r="D17" s="30"/>
      <c r="E17" s="33">
        <f>+SUMIFS('Exhibit 4.1'!L:L,'Exhibit 4.1'!B:B,$A17)</f>
        <v>1.3641283519196452</v>
      </c>
      <c r="F17" s="30"/>
      <c r="G17" s="33">
        <f>SUMIFS('Exhibit 5.2'!S:S,'Exhibit 5.2'!A:A,A17)</f>
        <v>1.3630304040310286</v>
      </c>
      <c r="H17" s="30"/>
      <c r="I17" s="33">
        <f t="shared" si="0"/>
        <v>0.32766111532728764</v>
      </c>
      <c r="J17" s="30"/>
    </row>
    <row r="18" spans="1:10">
      <c r="A18" s="252">
        <f t="shared" si="1"/>
        <v>1995</v>
      </c>
      <c r="B18" s="30"/>
      <c r="C18" s="33">
        <f>+SUMIFS('Exhibit 3.1'!F:F,'Exhibit 3.1'!B:B,$A18)</f>
        <v>0.4726045435642563</v>
      </c>
      <c r="D18" s="30"/>
      <c r="E18" s="33">
        <f>+SUMIFS('Exhibit 4.1'!L:L,'Exhibit 4.1'!B:B,$A18)</f>
        <v>1.2629978647526976</v>
      </c>
      <c r="F18" s="30"/>
      <c r="G18" s="33">
        <f>SUMIFS('Exhibit 5.2'!S:S,'Exhibit 5.2'!A:A,A18)</f>
        <v>1.7900798073231703</v>
      </c>
      <c r="H18" s="30"/>
      <c r="I18" s="33">
        <f t="shared" si="0"/>
        <v>0.33344799877200026</v>
      </c>
      <c r="J18" s="30"/>
    </row>
    <row r="19" spans="1:10">
      <c r="A19" s="252">
        <f t="shared" si="1"/>
        <v>1996</v>
      </c>
      <c r="B19" s="30"/>
      <c r="C19" s="33">
        <f>+SUMIFS('Exhibit 3.1'!F:F,'Exhibit 3.1'!B:B,$A19)</f>
        <v>0.53017190010244397</v>
      </c>
      <c r="D19" s="30"/>
      <c r="E19" s="33">
        <f>+SUMIFS('Exhibit 4.1'!L:L,'Exhibit 4.1'!B:B,$A19)</f>
        <v>1.1804837681438116</v>
      </c>
      <c r="F19" s="30"/>
      <c r="G19" s="33">
        <f>SUMIFS('Exhibit 5.2'!S:S,'Exhibit 5.2'!A:A,A19)</f>
        <v>1.851408902154918</v>
      </c>
      <c r="H19" s="30"/>
      <c r="I19" s="33">
        <f t="shared" si="0"/>
        <v>0.33804489201085647</v>
      </c>
      <c r="J19" s="30"/>
    </row>
    <row r="20" spans="1:10">
      <c r="A20" s="252">
        <f t="shared" si="1"/>
        <v>1997</v>
      </c>
      <c r="B20" s="30"/>
      <c r="C20" s="33">
        <f>+SUMIFS('Exhibit 3.1'!F:F,'Exhibit 3.1'!B:B,$A20)</f>
        <v>0.60067947799262367</v>
      </c>
      <c r="D20" s="30"/>
      <c r="E20" s="33">
        <f>+SUMIFS('Exhibit 4.1'!L:L,'Exhibit 4.1'!B:B,$A20)</f>
        <v>1.0570413162576322</v>
      </c>
      <c r="F20" s="30"/>
      <c r="G20" s="33">
        <f>SUMIFS('Exhibit 5.2'!S:S,'Exhibit 5.2'!A:A,A20)</f>
        <v>1.7978786698042459</v>
      </c>
      <c r="H20" s="30"/>
      <c r="I20" s="33">
        <f t="shared" si="0"/>
        <v>0.35316233332664393</v>
      </c>
      <c r="J20" s="30"/>
    </row>
    <row r="21" spans="1:10">
      <c r="A21" s="252">
        <f t="shared" si="1"/>
        <v>1998</v>
      </c>
      <c r="B21" s="30"/>
      <c r="C21" s="33">
        <f>+SUMIFS('Exhibit 3.1'!F:F,'Exhibit 3.1'!B:B,$A21)</f>
        <v>0.65280764691177895</v>
      </c>
      <c r="D21" s="30"/>
      <c r="E21" s="33">
        <f>+SUMIFS('Exhibit 4.1'!L:L,'Exhibit 4.1'!B:B,$A21)</f>
        <v>0.97497746318163414</v>
      </c>
      <c r="F21" s="30"/>
      <c r="G21" s="33">
        <f>SUMIFS('Exhibit 5.2'!S:S,'Exhibit 5.2'!A:A,A21)</f>
        <v>1.8054051010387213</v>
      </c>
      <c r="H21" s="30"/>
      <c r="I21" s="33">
        <f t="shared" si="0"/>
        <v>0.35253735749690202</v>
      </c>
      <c r="J21" s="30"/>
    </row>
    <row r="22" spans="1:10">
      <c r="A22" s="252">
        <f t="shared" si="1"/>
        <v>1999</v>
      </c>
      <c r="B22" s="30"/>
      <c r="C22" s="33">
        <f>+SUMIFS('Exhibit 3.1'!F:F,'Exhibit 3.1'!B:B,$A22)</f>
        <v>0.68609180353144827</v>
      </c>
      <c r="D22" s="30"/>
      <c r="E22" s="33">
        <f>+SUMIFS('Exhibit 4.1'!L:L,'Exhibit 4.1'!B:B,$A22)</f>
        <v>0.90342862626715459</v>
      </c>
      <c r="F22" s="30"/>
      <c r="G22" s="33">
        <f>SUMIFS('Exhibit 5.2'!S:S,'Exhibit 5.2'!A:A,A22)</f>
        <v>1.7148078358539498</v>
      </c>
      <c r="H22" s="30"/>
      <c r="I22" s="33">
        <f t="shared" si="0"/>
        <v>0.3614603121106581</v>
      </c>
      <c r="J22" s="30"/>
    </row>
    <row r="23" spans="1:10">
      <c r="A23" s="252">
        <f t="shared" si="1"/>
        <v>2000</v>
      </c>
      <c r="B23" s="30"/>
      <c r="C23" s="33">
        <f ca="1">+SUMIFS('Exhibit 3.1'!F:F,'Exhibit 3.1'!B:B,$A23)</f>
        <v>0.5929112232396665</v>
      </c>
      <c r="D23" s="30"/>
      <c r="E23" s="33">
        <f>+SUMIFS('Exhibit 4.1'!L:L,'Exhibit 4.1'!B:B,$A23)</f>
        <v>0.84337288639953056</v>
      </c>
      <c r="F23" s="30"/>
      <c r="G23" s="33">
        <f>SUMIFS('Exhibit 5.2'!S:S,'Exhibit 5.2'!A:A,A23)</f>
        <v>1.3569553355572124</v>
      </c>
      <c r="H23" s="30"/>
      <c r="I23" s="33">
        <f t="shared" ca="1" si="0"/>
        <v>0.36850531231153477</v>
      </c>
      <c r="J23" s="30"/>
    </row>
    <row r="24" spans="1:10">
      <c r="A24" s="252">
        <f t="shared" si="1"/>
        <v>2001</v>
      </c>
      <c r="B24" s="30"/>
      <c r="C24" s="33">
        <f ca="1">+SUMIFS('Exhibit 3.1'!F:F,'Exhibit 3.1'!B:B,$A24)</f>
        <v>0.49222138210350114</v>
      </c>
      <c r="D24" s="30"/>
      <c r="E24" s="33">
        <f>+SUMIFS('Exhibit 4.1'!L:L,'Exhibit 4.1'!B:B,$A24)</f>
        <v>0.84422217390648047</v>
      </c>
      <c r="F24" s="30"/>
      <c r="G24" s="33">
        <f>SUMIFS('Exhibit 5.2'!S:S,'Exhibit 5.2'!A:A,A24)</f>
        <v>1.1602520783500863</v>
      </c>
      <c r="H24" s="30"/>
      <c r="I24" s="33">
        <f t="shared" ca="1" si="0"/>
        <v>0.35814993396399392</v>
      </c>
      <c r="J24" s="30"/>
    </row>
    <row r="25" spans="1:10">
      <c r="A25" s="252">
        <f t="shared" si="1"/>
        <v>2002</v>
      </c>
      <c r="B25" s="30"/>
      <c r="C25" s="33">
        <f ca="1">+SUMIFS('Exhibit 3.1'!F:F,'Exhibit 3.1'!B:B,$A25)</f>
        <v>0.3665521792851088</v>
      </c>
      <c r="D25" s="30"/>
      <c r="E25" s="33">
        <f>+SUMIFS('Exhibit 4.1'!L:L,'Exhibit 4.1'!B:B,$A25)</f>
        <v>0.86471965173932741</v>
      </c>
      <c r="F25" s="30"/>
      <c r="G25" s="33">
        <f>SUMIFS('Exhibit 5.2'!S:S,'Exhibit 5.2'!A:A,A25)</f>
        <v>0.89409075840499819</v>
      </c>
      <c r="H25" s="30"/>
      <c r="I25" s="33">
        <f t="shared" ca="1" si="0"/>
        <v>0.35451084784855202</v>
      </c>
      <c r="J25" s="30"/>
    </row>
    <row r="26" spans="1:10">
      <c r="A26" s="252">
        <f t="shared" si="1"/>
        <v>2003</v>
      </c>
      <c r="B26" s="30"/>
      <c r="C26" s="33">
        <f ca="1">+SUMIFS('Exhibit 3.1'!F:F,'Exhibit 3.1'!B:B,$A26)</f>
        <v>0.24269478179393364</v>
      </c>
      <c r="D26" s="30"/>
      <c r="E26" s="33">
        <f>+SUMIFS('Exhibit 4.1'!L:L,'Exhibit 4.1'!B:B,$A26)</f>
        <v>0.86204403328451285</v>
      </c>
      <c r="F26" s="30"/>
      <c r="G26" s="33">
        <f>SUMIFS('Exhibit 5.2'!S:S,'Exhibit 5.2'!A:A,A26)</f>
        <v>0.63659313626620218</v>
      </c>
      <c r="H26" s="30"/>
      <c r="I26" s="33">
        <f t="shared" ca="1" si="0"/>
        <v>0.32864568691683332</v>
      </c>
      <c r="J26" s="30"/>
    </row>
    <row r="27" spans="1:10">
      <c r="A27" s="252">
        <f t="shared" si="1"/>
        <v>2004</v>
      </c>
      <c r="B27" s="30"/>
      <c r="C27" s="33">
        <f ca="1">+SUMIFS('Exhibit 3.1'!F:F,'Exhibit 3.1'!B:B,$A27)</f>
        <v>0.14520412568910696</v>
      </c>
      <c r="D27" s="30"/>
      <c r="E27" s="33">
        <f>+SUMIFS('Exhibit 4.1'!L:L,'Exhibit 4.1'!B:B,$A27)</f>
        <v>1.1800425687238758</v>
      </c>
      <c r="F27" s="30"/>
      <c r="G27" s="33">
        <f>SUMIFS('Exhibit 5.2'!S:S,'Exhibit 5.2'!A:A,A27)</f>
        <v>0.57248471519441402</v>
      </c>
      <c r="H27" s="30"/>
      <c r="I27" s="33">
        <f t="shared" ca="1" si="0"/>
        <v>0.29930414720206006</v>
      </c>
      <c r="J27" s="30"/>
    </row>
    <row r="28" spans="1:10">
      <c r="A28" s="252">
        <f t="shared" si="1"/>
        <v>2005</v>
      </c>
      <c r="B28" s="30"/>
      <c r="C28" s="33">
        <f ca="1">+SUMIFS('Exhibit 3.1'!F:F,'Exhibit 3.1'!B:B,$A28)</f>
        <v>0.12459116148312524</v>
      </c>
      <c r="D28" s="30"/>
      <c r="E28" s="33">
        <f>+SUMIFS('Exhibit 4.1'!L:L,'Exhibit 4.1'!B:B,$A28)</f>
        <v>1.5993317373883793</v>
      </c>
      <c r="F28" s="30"/>
      <c r="G28" s="33">
        <f>SUMIFS('Exhibit 5.2'!S:S,'Exhibit 5.2'!A:A,A28)</f>
        <v>0.63365729294516371</v>
      </c>
      <c r="H28" s="30"/>
      <c r="I28" s="33">
        <f t="shared" ca="1" si="0"/>
        <v>0.31446430267044501</v>
      </c>
      <c r="J28" s="30"/>
    </row>
    <row r="29" spans="1:10">
      <c r="A29" s="252">
        <f t="shared" si="1"/>
        <v>2006</v>
      </c>
      <c r="B29" s="30"/>
      <c r="C29" s="33">
        <f ca="1">+SUMIFS('Exhibit 3.1'!F:F,'Exhibit 3.1'!B:B,$A29)</f>
        <v>0.16120564391621658</v>
      </c>
      <c r="D29" s="30"/>
      <c r="E29" s="33">
        <f>+SUMIFS('Exhibit 4.1'!L:L,'Exhibit 4.1'!B:B,$A29)</f>
        <v>1.5714915451879361</v>
      </c>
      <c r="F29" s="30"/>
      <c r="G29" s="33">
        <f>SUMIFS('Exhibit 5.2'!S:S,'Exhibit 5.2'!A:A,A29)</f>
        <v>0.81487819276996454</v>
      </c>
      <c r="H29" s="30"/>
      <c r="I29" s="33">
        <f t="shared" ca="1" si="0"/>
        <v>0.31088487665840131</v>
      </c>
      <c r="J29" s="30"/>
    </row>
    <row r="30" spans="1:10">
      <c r="A30" s="252">
        <f t="shared" si="1"/>
        <v>2007</v>
      </c>
      <c r="B30" s="30"/>
      <c r="C30" s="33">
        <f ca="1">+SUMIFS('Exhibit 3.1'!F:F,'Exhibit 3.1'!B:B,$A30)</f>
        <v>0.22318972320539021</v>
      </c>
      <c r="D30" s="30"/>
      <c r="E30" s="33">
        <f>+SUMIFS('Exhibit 4.1'!L:L,'Exhibit 4.1'!B:B,$A30)</f>
        <v>1.5149301144353771</v>
      </c>
      <c r="F30" s="30"/>
      <c r="G30" s="33">
        <f>SUMIFS('Exhibit 5.2'!S:S,'Exhibit 5.2'!A:A,A30)</f>
        <v>1.0415934710627588</v>
      </c>
      <c r="H30" s="30"/>
      <c r="I30" s="33">
        <f t="shared" ca="1" si="0"/>
        <v>0.32461496957287428</v>
      </c>
      <c r="J30" s="30"/>
    </row>
    <row r="31" spans="1:10">
      <c r="A31" s="252">
        <f t="shared" si="1"/>
        <v>2008</v>
      </c>
      <c r="B31" s="30"/>
      <c r="C31" s="33">
        <f ca="1">+SUMIFS('Exhibit 3.1'!F:F,'Exhibit 3.1'!B:B,$A31)</f>
        <v>0.28240831955468743</v>
      </c>
      <c r="D31" s="30"/>
      <c r="E31" s="33">
        <f>+SUMIFS('Exhibit 4.1'!L:L,'Exhibit 4.1'!B:B,$A31)</f>
        <v>1.4226955123947729</v>
      </c>
      <c r="F31" s="30"/>
      <c r="G31" s="33">
        <f>SUMIFS('Exhibit 5.2'!S:S,'Exhibit 5.2'!A:A,A31)</f>
        <v>1.2584903032763226</v>
      </c>
      <c r="H31" s="30"/>
      <c r="I31" s="33">
        <f t="shared" ca="1" si="0"/>
        <v>0.3192563723752308</v>
      </c>
      <c r="J31" s="30"/>
    </row>
    <row r="32" spans="1:10">
      <c r="A32" s="252">
        <f t="shared" si="1"/>
        <v>2009</v>
      </c>
      <c r="B32" s="30"/>
      <c r="C32" s="33">
        <f ca="1">+SUMIFS('Exhibit 3.1'!F:F,'Exhibit 3.1'!B:B,$A32)</f>
        <v>0.33025763240328515</v>
      </c>
      <c r="D32" s="30"/>
      <c r="E32" s="33">
        <f>+SUMIFS('Exhibit 4.1'!L:L,'Exhibit 4.1'!B:B,$A32)</f>
        <v>1.3946735747278993</v>
      </c>
      <c r="F32" s="30"/>
      <c r="G32" s="33">
        <f>SUMIFS('Exhibit 5.2'!S:S,'Exhibit 5.2'!A:A,A32)</f>
        <v>1.3574658358404941</v>
      </c>
      <c r="H32" s="30"/>
      <c r="I32" s="33">
        <f t="shared" ca="1" si="0"/>
        <v>0.3393098968710872</v>
      </c>
      <c r="J32" s="30"/>
    </row>
    <row r="33" spans="1:13">
      <c r="A33" s="252">
        <f t="shared" si="1"/>
        <v>2010</v>
      </c>
      <c r="B33" s="30"/>
      <c r="C33" s="33">
        <f ca="1">+SUMIFS('Exhibit 3.1'!F:F,'Exhibit 3.1'!B:B,$A33)</f>
        <v>0.31918796641996355</v>
      </c>
      <c r="D33" s="30"/>
      <c r="E33" s="33">
        <f>+SUMIFS('Exhibit 4.1'!L:L,'Exhibit 4.1'!B:B,$A33)</f>
        <v>1.3685882820716146</v>
      </c>
      <c r="F33" s="30"/>
      <c r="G33" s="33">
        <f>SUMIFS('Exhibit 5.2'!S:S,'Exhibit 5.2'!A:A,A33)</f>
        <v>1.2340727154933295</v>
      </c>
      <c r="H33" s="30"/>
      <c r="I33" s="33">
        <f t="shared" ca="1" si="0"/>
        <v>0.35397987909164769</v>
      </c>
      <c r="J33" s="30"/>
    </row>
    <row r="34" spans="1:13">
      <c r="A34" s="252">
        <f t="shared" si="1"/>
        <v>2011</v>
      </c>
      <c r="B34" s="30"/>
      <c r="C34" s="33">
        <f ca="1">+SUMIFS('Exhibit 3.1'!F:F,'Exhibit 3.1'!B:B,$A34)</f>
        <v>0.29801260865495854</v>
      </c>
      <c r="D34" s="30"/>
      <c r="E34" s="33">
        <f>+SUMIFS('Exhibit 4.1'!L:L,'Exhibit 4.1'!B:B,$A34)</f>
        <v>1.3496925858694424</v>
      </c>
      <c r="F34" s="30"/>
      <c r="G34" s="33">
        <f>SUMIFS('Exhibit 5.2'!S:S,'Exhibit 5.2'!A:A,A34)</f>
        <v>1.1272704346173374</v>
      </c>
      <c r="H34" s="30"/>
      <c r="I34" s="33">
        <f t="shared" ca="1" si="0"/>
        <v>0.35681358797789137</v>
      </c>
      <c r="J34" s="30"/>
    </row>
    <row r="35" spans="1:13">
      <c r="A35" s="252">
        <f t="shared" si="1"/>
        <v>2012</v>
      </c>
      <c r="B35" s="30"/>
      <c r="C35" s="33">
        <f ca="1">+SUMIFS('Exhibit 3.1'!F:F,'Exhibit 3.1'!B:B,$A35)</f>
        <v>0.26741735328609761</v>
      </c>
      <c r="D35" s="30"/>
      <c r="E35" s="33">
        <f>+SUMIFS('Exhibit 4.1'!L:L,'Exhibit 4.1'!B:B,$A35)</f>
        <v>1.3329740372653718</v>
      </c>
      <c r="F35" s="30"/>
      <c r="G35" s="33">
        <f>SUMIFS('Exhibit 5.2'!S:S,'Exhibit 5.2'!A:A,A35)</f>
        <v>1.0035997122091236</v>
      </c>
      <c r="H35" s="30"/>
      <c r="I35" s="33">
        <f t="shared" ca="1" si="0"/>
        <v>0.35518183665073916</v>
      </c>
      <c r="J35" s="30"/>
    </row>
    <row r="36" spans="1:13">
      <c r="A36" s="252">
        <f t="shared" si="1"/>
        <v>2013</v>
      </c>
      <c r="B36" s="33"/>
      <c r="C36" s="33">
        <f ca="1">+SUMIFS('Exhibit 3.1'!F:F,'Exhibit 3.1'!B:B,$A36)</f>
        <v>0.22942554577184748</v>
      </c>
      <c r="D36" s="33"/>
      <c r="E36" s="33">
        <f>+SUMIFS('Exhibit 4.1'!L:L,'Exhibit 4.1'!B:B,$A36)</f>
        <v>1.3035333029039646</v>
      </c>
      <c r="F36" s="33"/>
      <c r="G36" s="33">
        <f>SUMIFS('Exhibit 5.2'!S:S,'Exhibit 5.2'!A:A,A36)</f>
        <v>0.87691281287460654</v>
      </c>
      <c r="H36" s="61"/>
      <c r="I36" s="33">
        <f t="shared" ca="1" si="0"/>
        <v>0.34104170341651224</v>
      </c>
      <c r="J36" s="33"/>
    </row>
    <row r="37" spans="1:13">
      <c r="A37" s="252">
        <f t="shared" si="1"/>
        <v>2014</v>
      </c>
      <c r="B37" s="33"/>
      <c r="C37" s="33">
        <f ca="1">+SUMIFS('Exhibit 3.1'!F:F,'Exhibit 3.1'!B:B,$A37)</f>
        <v>0.21861534767801374</v>
      </c>
      <c r="D37" s="33"/>
      <c r="E37" s="33">
        <f>+SUMIFS('Exhibit 4.1'!L:L,'Exhibit 4.1'!B:B,$A37)</f>
        <v>1.193766702836788</v>
      </c>
      <c r="F37" s="33"/>
      <c r="G37" s="33">
        <f>SUMIFS('Exhibit 5.2'!S:S,'Exhibit 5.2'!A:A,A37)</f>
        <v>0.80804005370448018</v>
      </c>
      <c r="H37" s="61"/>
      <c r="I37" s="33">
        <f t="shared" ca="1" si="0"/>
        <v>0.32297374565858544</v>
      </c>
      <c r="J37" s="33"/>
    </row>
    <row r="38" spans="1:13">
      <c r="A38" s="252">
        <f t="shared" si="1"/>
        <v>2015</v>
      </c>
      <c r="B38" s="33"/>
      <c r="C38" s="33">
        <f ca="1">+SUMIFS('Exhibit 3.1'!F:F,'Exhibit 3.1'!B:B,$A38)</f>
        <v>0.21248069476323328</v>
      </c>
      <c r="D38" s="33"/>
      <c r="E38" s="33">
        <f>+SUMIFS('Exhibit 4.1'!L:L,'Exhibit 4.1'!B:B,$A38)</f>
        <v>1.1767919791159291</v>
      </c>
      <c r="F38" s="33"/>
      <c r="G38" s="33">
        <f>SUMIFS('Exhibit 5.2'!S:S,'Exhibit 5.2'!A:A,A38)</f>
        <v>0.77124105761197015</v>
      </c>
      <c r="H38" s="61"/>
      <c r="I38" s="33">
        <f t="shared" ca="1" si="0"/>
        <v>0.32421196310344369</v>
      </c>
      <c r="J38" s="33"/>
    </row>
    <row r="39" spans="1:13">
      <c r="A39" s="252">
        <f t="shared" si="1"/>
        <v>2016</v>
      </c>
      <c r="B39" s="33"/>
      <c r="C39" s="33">
        <f ca="1">+SUMIFS('Exhibit 3.1'!F:F,'Exhibit 3.1'!B:B,$A39)</f>
        <v>0.20120643029787283</v>
      </c>
      <c r="D39" s="33"/>
      <c r="E39" s="33">
        <f>+SUMIFS('Exhibit 4.1'!L:L,'Exhibit 4.1'!B:B,$A39)</f>
        <v>1.1620031648370481</v>
      </c>
      <c r="F39" s="33"/>
      <c r="G39" s="33">
        <f>SUMIFS('Exhibit 5.2'!S:S,'Exhibit 5.2'!A:A,A39)</f>
        <v>0.79686249671543408</v>
      </c>
      <c r="H39" s="61"/>
      <c r="I39" s="33">
        <f ca="1">C39*E39/G39</f>
        <v>0.29340383034136674</v>
      </c>
      <c r="J39" s="33"/>
    </row>
    <row r="40" spans="1:13">
      <c r="A40" s="252">
        <f t="shared" si="1"/>
        <v>2017</v>
      </c>
      <c r="B40" s="33"/>
      <c r="C40" s="33">
        <f ca="1">+SUMIFS('Exhibit 3.1'!F:F,'Exhibit 3.1'!B:B,$A40)</f>
        <v>0.20512842092544842</v>
      </c>
      <c r="D40" s="33"/>
      <c r="E40" s="33">
        <f>+SUMIFS('Exhibit 4.1'!L:L,'Exhibit 4.1'!B:B,$A40)</f>
        <v>1.1316705465107033</v>
      </c>
      <c r="F40" s="33"/>
      <c r="G40" s="33">
        <f>SUMIFS('Exhibit 5.2'!S:S,'Exhibit 5.2'!A:A,A40)</f>
        <v>0.8348561240382969</v>
      </c>
      <c r="H40" s="61"/>
      <c r="I40" s="33">
        <f ca="1">C40*E40/G40</f>
        <v>0.27805724307405461</v>
      </c>
      <c r="J40" s="30"/>
    </row>
    <row r="41" spans="1:13" ht="14.5">
      <c r="A41" s="252">
        <f t="shared" si="1"/>
        <v>2018</v>
      </c>
      <c r="B41" s="30"/>
      <c r="C41" s="33">
        <f ca="1">+SUMIFS('Exhibit 3.1'!F:F,'Exhibit 3.1'!B:B,$A41)</f>
        <v>0.21891927764683311</v>
      </c>
      <c r="D41" s="33"/>
      <c r="E41" s="33">
        <f>+SUMIFS('Exhibit 4.1'!L:L,'Exhibit 4.1'!B:B,$A41)</f>
        <v>1.1024589131799567</v>
      </c>
      <c r="F41" s="33"/>
      <c r="G41" s="33">
        <f>SUMIFS('Exhibit 5.2'!S:S,'Exhibit 5.2'!A:A,A41)</f>
        <v>0.87886641278374644</v>
      </c>
      <c r="H41" s="287"/>
      <c r="I41" s="33">
        <f ca="1">C41*E41/G41</f>
        <v>0.27461455506555488</v>
      </c>
      <c r="J41" s="30"/>
      <c r="K41"/>
      <c r="L41"/>
      <c r="M41"/>
    </row>
    <row r="42" spans="1:13" ht="14.5">
      <c r="A42" s="252">
        <f t="shared" si="1"/>
        <v>2019</v>
      </c>
      <c r="B42" s="30"/>
      <c r="C42" s="33">
        <f ca="1">+SUMIFS('Exhibit 3.1'!F:F,'Exhibit 3.1'!B:B,$A42)</f>
        <v>0.25482139519018787</v>
      </c>
      <c r="D42" s="33"/>
      <c r="E42" s="33">
        <f>+SUMIFS('Exhibit 4.1'!L:L,'Exhibit 4.1'!B:B,$A42)</f>
        <v>1.0705602848213625</v>
      </c>
      <c r="F42" s="33"/>
      <c r="G42" s="33">
        <f>SUMIFS('Exhibit 5.2'!S:S,'Exhibit 5.2'!A:A,A42)</f>
        <v>0.97298142084128703</v>
      </c>
      <c r="H42" s="300"/>
      <c r="I42" s="33">
        <f ca="1">C42*E42/G42</f>
        <v>0.28037705507008231</v>
      </c>
      <c r="J42" s="30"/>
      <c r="K42" s="542" t="s">
        <v>259</v>
      </c>
      <c r="L42" s="543"/>
      <c r="M42" s="544"/>
    </row>
    <row r="43" spans="1:13">
      <c r="A43" s="252">
        <f t="shared" si="1"/>
        <v>2020</v>
      </c>
      <c r="B43" s="30"/>
      <c r="C43" s="33">
        <f ca="1">+SUMIFS('Exhibit 3.1'!F:F,'Exhibit 3.1'!B:B,$A43)</f>
        <v>0.27932004201577193</v>
      </c>
      <c r="D43" s="33"/>
      <c r="E43" s="33">
        <f>+SUMIFS('Exhibit 4.1'!L:L,'Exhibit 4.1'!B:B,$A43)</f>
        <v>1.0482622785885933</v>
      </c>
      <c r="F43" s="33"/>
      <c r="G43" s="33">
        <f>SUMIFS('Exhibit 5.2'!S:S,'Exhibit 5.2'!A:A,A43)</f>
        <v>1.0621878954115602</v>
      </c>
      <c r="H43" s="300"/>
      <c r="I43" s="33">
        <f ca="1">C43*E43/G43</f>
        <v>0.27565806856183844</v>
      </c>
      <c r="J43" s="30"/>
      <c r="K43" s="318" t="s">
        <v>376</v>
      </c>
      <c r="L43" s="319" t="s">
        <v>258</v>
      </c>
      <c r="M43" s="320" t="s">
        <v>299</v>
      </c>
    </row>
    <row r="44" spans="1:13">
      <c r="A44" s="52"/>
      <c r="B44" s="62"/>
      <c r="C44" s="122"/>
      <c r="D44" s="26"/>
      <c r="E44" s="61"/>
      <c r="F44" s="61"/>
      <c r="G44" s="61"/>
      <c r="H44" s="62"/>
      <c r="J44" s="62"/>
      <c r="K44" s="131" t="str">
        <f>+'Exhibit 6.1'!A48</f>
        <v>2019*</v>
      </c>
      <c r="L44" s="496">
        <v>8.9999999999999998E-4</v>
      </c>
      <c r="M44" s="210">
        <f>'Exhibit 6.2'!$L$46</f>
        <v>0.01</v>
      </c>
    </row>
    <row r="45" spans="1:13">
      <c r="A45" s="52"/>
      <c r="B45" s="62"/>
      <c r="C45" s="225"/>
      <c r="D45" s="26"/>
      <c r="E45" s="61"/>
      <c r="F45" s="61"/>
      <c r="G45" s="61"/>
      <c r="H45" s="62"/>
      <c r="I45" s="61" t="s">
        <v>231</v>
      </c>
      <c r="J45" s="62"/>
      <c r="K45" s="131">
        <f>+'Exhibit 6.1'!A49</f>
        <v>2020</v>
      </c>
      <c r="L45" s="496">
        <v>-4.9000000000000002E-2</v>
      </c>
      <c r="M45" s="210">
        <f>'Exhibit 6.2'!$L$46</f>
        <v>0.01</v>
      </c>
    </row>
    <row r="46" spans="1:13">
      <c r="A46" s="34">
        <f>A43+1</f>
        <v>2021</v>
      </c>
      <c r="B46" s="62"/>
      <c r="C46" s="122"/>
      <c r="D46" s="26"/>
      <c r="E46" s="61"/>
      <c r="F46" s="61"/>
      <c r="G46" s="61"/>
      <c r="H46" s="62"/>
      <c r="I46" s="30">
        <f ca="1">I42*(1+L45)*(1+M45)*(1+L46)*(1+M46)</f>
        <v>0.27861183838767717</v>
      </c>
      <c r="J46" s="62"/>
      <c r="K46" s="131">
        <f>+'Exhibit 6.1'!A50</f>
        <v>2021</v>
      </c>
      <c r="L46" s="497">
        <v>2.4315705300673285E-2</v>
      </c>
      <c r="M46" s="321">
        <f>+'Exhibit 6.2'!$L$46</f>
        <v>0.01</v>
      </c>
    </row>
    <row r="47" spans="1:13">
      <c r="A47" s="34">
        <f>A46+1</f>
        <v>2022</v>
      </c>
      <c r="B47" s="62"/>
      <c r="C47" s="122"/>
      <c r="D47" s="26"/>
      <c r="E47" s="61"/>
      <c r="F47" s="61"/>
      <c r="G47" s="61"/>
      <c r="H47" s="62"/>
      <c r="I47" s="30">
        <f ca="1">I46*(1+L47)*(1+M47)</f>
        <v>0.28467626218061048</v>
      </c>
      <c r="J47" s="62"/>
      <c r="K47" s="131">
        <f>+'Exhibit 6.1'!A51</f>
        <v>2022</v>
      </c>
      <c r="L47" s="497">
        <v>1.1650068275790515E-2</v>
      </c>
      <c r="M47" s="321">
        <f>+'Exhibit 6.2'!$L$46</f>
        <v>0.01</v>
      </c>
    </row>
    <row r="48" spans="1:13">
      <c r="A48" s="58" t="s">
        <v>529</v>
      </c>
      <c r="B48" s="255"/>
      <c r="C48" s="39"/>
      <c r="D48" s="41"/>
      <c r="E48" s="113"/>
      <c r="F48" s="113"/>
      <c r="G48" s="113"/>
      <c r="H48" s="255"/>
      <c r="I48" s="30">
        <f ca="1">I47*((1+L48)^(2/12))*((1+M48)^(2/12))</f>
        <v>0.28531302806687026</v>
      </c>
      <c r="J48" s="62"/>
      <c r="K48" s="322">
        <f>+'Exhibit 6.1'!A52</f>
        <v>2023</v>
      </c>
      <c r="L48" s="498">
        <v>3.4615014189245397E-3</v>
      </c>
      <c r="M48" s="323">
        <f>+'Exhibit 6.2'!$L$46</f>
        <v>0.01</v>
      </c>
    </row>
    <row r="49" spans="1:13">
      <c r="A49" s="61"/>
      <c r="B49" s="62"/>
      <c r="C49" s="162"/>
      <c r="D49" s="26"/>
      <c r="E49" s="61"/>
      <c r="F49" s="61"/>
      <c r="G49" s="61"/>
      <c r="H49" s="62"/>
      <c r="I49" s="62"/>
      <c r="J49" s="62"/>
      <c r="K49" s="110"/>
      <c r="L49" s="110"/>
      <c r="M49" s="110"/>
    </row>
    <row r="50" spans="1:13">
      <c r="A50" s="31" t="s">
        <v>22</v>
      </c>
      <c r="B50" s="514" t="s">
        <v>232</v>
      </c>
      <c r="C50" s="514"/>
      <c r="D50" s="514"/>
      <c r="E50" s="514"/>
      <c r="F50" s="514"/>
      <c r="G50" s="514"/>
      <c r="H50" s="514"/>
      <c r="I50" s="514"/>
      <c r="J50" s="62"/>
    </row>
    <row r="51" spans="1:13">
      <c r="A51" s="31" t="s">
        <v>28</v>
      </c>
      <c r="B51" s="514" t="s">
        <v>233</v>
      </c>
      <c r="C51" s="514"/>
      <c r="D51" s="514"/>
      <c r="E51" s="514"/>
      <c r="F51" s="514"/>
      <c r="G51" s="514"/>
      <c r="H51" s="514"/>
      <c r="I51" s="514"/>
      <c r="J51" s="62"/>
    </row>
    <row r="52" spans="1:13">
      <c r="A52" s="31" t="s">
        <v>38</v>
      </c>
      <c r="B52" s="514" t="s">
        <v>234</v>
      </c>
      <c r="C52" s="514"/>
      <c r="D52" s="514"/>
      <c r="E52" s="514"/>
      <c r="F52" s="514"/>
      <c r="G52" s="514"/>
      <c r="H52" s="514"/>
      <c r="I52" s="514"/>
      <c r="J52" s="10"/>
    </row>
    <row r="53" spans="1:13" ht="52.5" customHeight="1">
      <c r="A53" s="31" t="s">
        <v>57</v>
      </c>
      <c r="B53" s="514" t="s">
        <v>555</v>
      </c>
      <c r="C53" s="514"/>
      <c r="D53" s="514"/>
      <c r="E53" s="514"/>
      <c r="F53" s="514"/>
      <c r="G53" s="514"/>
      <c r="H53" s="514"/>
      <c r="I53" s="514"/>
      <c r="J53" s="10"/>
    </row>
  </sheetData>
  <mergeCells count="5">
    <mergeCell ref="B53:I53"/>
    <mergeCell ref="B50:I50"/>
    <mergeCell ref="K42:M42"/>
    <mergeCell ref="B51:I51"/>
    <mergeCell ref="B52:I52"/>
  </mergeCells>
  <printOptions horizontalCentered="1"/>
  <pageMargins left="0.5" right="0.5" top="0.75" bottom="0.75" header="0.33" footer="0.33"/>
  <pageSetup scale="86" orientation="portrait" blackAndWhite="1" horizontalDpi="1200" verticalDpi="1200" r:id="rId1"/>
  <headerFooter scaleWithDoc="0">
    <oddHeader>&amp;R&amp;"Arial,Regular"&amp;10Exhibit 7.1</oddHeader>
  </headerFooter>
  <ignoredErrors>
    <ignoredError sqref="C5:I5"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U32"/>
  <sheetViews>
    <sheetView zoomScaleNormal="100" workbookViewId="0"/>
  </sheetViews>
  <sheetFormatPr defaultColWidth="9.1796875" defaultRowHeight="12.5"/>
  <cols>
    <col min="1" max="1" width="13.1796875" style="108" customWidth="1"/>
    <col min="2" max="20" width="7.7265625" style="108" customWidth="1"/>
    <col min="21" max="21" width="13.1796875" style="110" bestFit="1" customWidth="1"/>
    <col min="22" max="16384" width="9.1796875" style="108"/>
  </cols>
  <sheetData>
    <row r="1" spans="1:21" ht="15" customHeight="1">
      <c r="A1" s="240" t="s">
        <v>23</v>
      </c>
      <c r="B1" s="240"/>
      <c r="C1" s="240"/>
      <c r="D1" s="240"/>
      <c r="E1" s="240"/>
      <c r="F1" s="240"/>
      <c r="G1" s="240"/>
      <c r="H1" s="240"/>
      <c r="I1" s="240"/>
      <c r="J1" s="240"/>
      <c r="K1" s="240"/>
      <c r="L1" s="240"/>
      <c r="M1" s="240"/>
      <c r="N1" s="240"/>
      <c r="O1" s="240"/>
      <c r="P1" s="240"/>
      <c r="Q1" s="240"/>
      <c r="R1" s="240"/>
      <c r="S1" s="240"/>
      <c r="T1" s="240"/>
      <c r="U1" s="182"/>
    </row>
    <row r="2" spans="1:21" ht="13">
      <c r="A2" s="118"/>
      <c r="B2" s="118"/>
      <c r="C2" s="118"/>
      <c r="D2" s="118"/>
      <c r="E2" s="118"/>
      <c r="F2" s="118"/>
      <c r="G2" s="118"/>
      <c r="H2" s="118"/>
      <c r="I2" s="118"/>
      <c r="J2" s="118"/>
      <c r="K2" s="118"/>
      <c r="L2" s="118"/>
      <c r="M2" s="118"/>
      <c r="N2" s="118"/>
      <c r="O2" s="118"/>
      <c r="P2" s="118"/>
      <c r="Q2" s="160"/>
      <c r="R2" s="134"/>
      <c r="S2" s="285"/>
      <c r="T2" s="285"/>
    </row>
    <row r="3" spans="1:21" ht="14.5">
      <c r="A3" s="120"/>
      <c r="B3" s="242" t="s">
        <v>18</v>
      </c>
      <c r="C3" s="242"/>
      <c r="D3" s="242"/>
      <c r="E3" s="242"/>
      <c r="F3" s="242"/>
      <c r="G3" s="242"/>
      <c r="H3" s="242"/>
      <c r="I3" s="242"/>
      <c r="J3" s="242"/>
      <c r="K3" s="242"/>
      <c r="L3" s="242"/>
      <c r="M3" s="242"/>
      <c r="N3" s="242"/>
      <c r="O3" s="242"/>
      <c r="P3" s="242"/>
      <c r="Q3" s="242"/>
      <c r="R3" s="242"/>
      <c r="S3" s="242"/>
      <c r="T3" s="242"/>
      <c r="U3" s="211"/>
    </row>
    <row r="4" spans="1:21">
      <c r="A4" s="11" t="s">
        <v>19</v>
      </c>
      <c r="B4" s="11" t="s">
        <v>487</v>
      </c>
      <c r="C4" s="11" t="s">
        <v>488</v>
      </c>
      <c r="D4" s="11" t="s">
        <v>489</v>
      </c>
      <c r="E4" s="11" t="s">
        <v>490</v>
      </c>
      <c r="F4" s="11" t="s">
        <v>491</v>
      </c>
      <c r="G4" s="11" t="s">
        <v>492</v>
      </c>
      <c r="H4" s="11" t="s">
        <v>493</v>
      </c>
      <c r="I4" s="11" t="s">
        <v>494</v>
      </c>
      <c r="J4" s="11" t="s">
        <v>495</v>
      </c>
      <c r="K4" s="11" t="s">
        <v>496</v>
      </c>
      <c r="L4" s="11" t="s">
        <v>497</v>
      </c>
      <c r="M4" s="11" t="s">
        <v>498</v>
      </c>
      <c r="N4" s="11" t="s">
        <v>499</v>
      </c>
      <c r="O4" s="11" t="s">
        <v>500</v>
      </c>
      <c r="P4" s="11" t="s">
        <v>501</v>
      </c>
      <c r="Q4" s="11" t="s">
        <v>502</v>
      </c>
      <c r="R4" s="11" t="s">
        <v>503</v>
      </c>
      <c r="S4" s="11" t="s">
        <v>504</v>
      </c>
      <c r="T4" s="11" t="s">
        <v>505</v>
      </c>
      <c r="U4" s="11" t="s">
        <v>506</v>
      </c>
    </row>
    <row r="5" spans="1:21">
      <c r="A5" s="12">
        <f t="shared" ref="A5:A24" si="0">+A6-1</f>
        <v>1983</v>
      </c>
      <c r="B5" s="364" t="s">
        <v>34</v>
      </c>
      <c r="C5" s="364" t="s">
        <v>34</v>
      </c>
      <c r="D5" s="364" t="s">
        <v>34</v>
      </c>
      <c r="E5" s="364" t="s">
        <v>34</v>
      </c>
      <c r="F5" s="364" t="s">
        <v>34</v>
      </c>
      <c r="G5" s="364" t="s">
        <v>34</v>
      </c>
      <c r="H5" s="364" t="s">
        <v>34</v>
      </c>
      <c r="I5" s="364">
        <v>1.0009999999999999</v>
      </c>
      <c r="J5" s="364">
        <v>1</v>
      </c>
      <c r="K5" s="364">
        <v>1</v>
      </c>
      <c r="L5" s="364">
        <v>1.0009999999999999</v>
      </c>
      <c r="M5" s="364">
        <v>1.0009999999999999</v>
      </c>
      <c r="N5" s="364">
        <v>1.0009999999999999</v>
      </c>
      <c r="O5" s="364">
        <v>1.0009999999999999</v>
      </c>
      <c r="P5" s="364">
        <v>1.0009999999999999</v>
      </c>
      <c r="Q5" s="364">
        <v>1</v>
      </c>
      <c r="R5" s="364">
        <v>1.0009999999999999</v>
      </c>
      <c r="S5" s="364">
        <v>1.0009999999999999</v>
      </c>
      <c r="T5" s="364">
        <v>1.0009999999999999</v>
      </c>
      <c r="U5" s="21"/>
    </row>
    <row r="6" spans="1:21">
      <c r="A6" s="12">
        <f t="shared" si="0"/>
        <v>1984</v>
      </c>
      <c r="B6" s="364" t="s">
        <v>34</v>
      </c>
      <c r="C6" s="364" t="s">
        <v>34</v>
      </c>
      <c r="D6" s="364" t="s">
        <v>34</v>
      </c>
      <c r="E6" s="364" t="s">
        <v>34</v>
      </c>
      <c r="F6" s="364" t="s">
        <v>34</v>
      </c>
      <c r="G6" s="364" t="s">
        <v>34</v>
      </c>
      <c r="H6" s="364">
        <v>1</v>
      </c>
      <c r="I6" s="364">
        <v>1</v>
      </c>
      <c r="J6" s="364">
        <v>1.0009999999999999</v>
      </c>
      <c r="K6" s="364">
        <v>1.0009999999999999</v>
      </c>
      <c r="L6" s="364">
        <v>1</v>
      </c>
      <c r="M6" s="364">
        <v>1.0009999999999999</v>
      </c>
      <c r="N6" s="364">
        <v>1.0009999999999999</v>
      </c>
      <c r="O6" s="364">
        <v>1</v>
      </c>
      <c r="P6" s="364">
        <v>0.999</v>
      </c>
      <c r="Q6" s="364">
        <v>1</v>
      </c>
      <c r="R6" s="364">
        <v>1</v>
      </c>
      <c r="S6" s="364">
        <v>1.0009999999999999</v>
      </c>
      <c r="T6" s="364">
        <v>1.0009999999999999</v>
      </c>
      <c r="U6" s="21"/>
    </row>
    <row r="7" spans="1:21">
      <c r="A7" s="12">
        <f t="shared" si="0"/>
        <v>1985</v>
      </c>
      <c r="B7" s="364" t="s">
        <v>34</v>
      </c>
      <c r="C7" s="364" t="s">
        <v>34</v>
      </c>
      <c r="D7" s="364" t="s">
        <v>34</v>
      </c>
      <c r="E7" s="364" t="s">
        <v>34</v>
      </c>
      <c r="F7" s="364" t="s">
        <v>34</v>
      </c>
      <c r="G7" s="364">
        <v>1.0009999999999999</v>
      </c>
      <c r="H7" s="364">
        <v>1</v>
      </c>
      <c r="I7" s="364">
        <v>1.0009999999999999</v>
      </c>
      <c r="J7" s="364">
        <v>1</v>
      </c>
      <c r="K7" s="364">
        <v>1.0009999999999999</v>
      </c>
      <c r="L7" s="364">
        <v>1.0009999999999999</v>
      </c>
      <c r="M7" s="364">
        <v>1.0009999999999999</v>
      </c>
      <c r="N7" s="364">
        <v>1.0009999999999999</v>
      </c>
      <c r="O7" s="364">
        <v>1</v>
      </c>
      <c r="P7" s="364">
        <v>1</v>
      </c>
      <c r="Q7" s="364">
        <v>1</v>
      </c>
      <c r="R7" s="364">
        <v>1</v>
      </c>
      <c r="S7" s="364">
        <v>1</v>
      </c>
      <c r="T7" s="364">
        <v>1</v>
      </c>
      <c r="U7" s="21"/>
    </row>
    <row r="8" spans="1:21">
      <c r="A8" s="12">
        <f t="shared" si="0"/>
        <v>1986</v>
      </c>
      <c r="B8" s="364" t="s">
        <v>34</v>
      </c>
      <c r="C8" s="364" t="s">
        <v>34</v>
      </c>
      <c r="D8" s="364" t="s">
        <v>34</v>
      </c>
      <c r="E8" s="364" t="s">
        <v>34</v>
      </c>
      <c r="F8" s="364">
        <v>1</v>
      </c>
      <c r="G8" s="364">
        <v>1.0009999999999999</v>
      </c>
      <c r="H8" s="364">
        <v>1.0009999999999999</v>
      </c>
      <c r="I8" s="364">
        <v>1</v>
      </c>
      <c r="J8" s="364">
        <v>1.0009999999999999</v>
      </c>
      <c r="K8" s="364">
        <v>1.002</v>
      </c>
      <c r="L8" s="364">
        <v>1.0009999999999999</v>
      </c>
      <c r="M8" s="364">
        <v>1</v>
      </c>
      <c r="N8" s="364">
        <v>0.999</v>
      </c>
      <c r="O8" s="364">
        <v>1</v>
      </c>
      <c r="P8" s="364">
        <v>1</v>
      </c>
      <c r="Q8" s="364">
        <v>1</v>
      </c>
      <c r="R8" s="364">
        <v>1</v>
      </c>
      <c r="S8" s="364">
        <v>1.0009999999999999</v>
      </c>
      <c r="T8" s="364" t="s">
        <v>34</v>
      </c>
      <c r="U8" s="21"/>
    </row>
    <row r="9" spans="1:21">
      <c r="A9" s="12">
        <f t="shared" si="0"/>
        <v>1987</v>
      </c>
      <c r="B9" s="364" t="s">
        <v>34</v>
      </c>
      <c r="C9" s="364" t="s">
        <v>34</v>
      </c>
      <c r="D9" s="364" t="s">
        <v>34</v>
      </c>
      <c r="E9" s="364">
        <v>1</v>
      </c>
      <c r="F9" s="364">
        <v>0.999</v>
      </c>
      <c r="G9" s="364">
        <v>1</v>
      </c>
      <c r="H9" s="364">
        <v>1</v>
      </c>
      <c r="I9" s="364">
        <v>1.0009999999999999</v>
      </c>
      <c r="J9" s="364">
        <v>1.002</v>
      </c>
      <c r="K9" s="364">
        <v>1</v>
      </c>
      <c r="L9" s="364">
        <v>1.0009999999999999</v>
      </c>
      <c r="M9" s="364">
        <v>1.0009999999999999</v>
      </c>
      <c r="N9" s="364">
        <v>1.0009999999999999</v>
      </c>
      <c r="O9" s="364">
        <v>1.0009999999999999</v>
      </c>
      <c r="P9" s="364">
        <v>1.0009999999999999</v>
      </c>
      <c r="Q9" s="364">
        <v>1</v>
      </c>
      <c r="R9" s="364">
        <v>1.0009999999999999</v>
      </c>
      <c r="S9" s="364" t="s">
        <v>34</v>
      </c>
      <c r="T9" s="364" t="s">
        <v>34</v>
      </c>
      <c r="U9" s="21"/>
    </row>
    <row r="10" spans="1:21">
      <c r="A10" s="12">
        <f t="shared" si="0"/>
        <v>1988</v>
      </c>
      <c r="B10" s="364" t="s">
        <v>34</v>
      </c>
      <c r="C10" s="364" t="s">
        <v>34</v>
      </c>
      <c r="D10" s="364">
        <v>1</v>
      </c>
      <c r="E10" s="364">
        <v>1.0009999999999999</v>
      </c>
      <c r="F10" s="364">
        <v>1</v>
      </c>
      <c r="G10" s="364">
        <v>1.0009999999999999</v>
      </c>
      <c r="H10" s="364">
        <v>1.002</v>
      </c>
      <c r="I10" s="364">
        <v>1.0009999999999999</v>
      </c>
      <c r="J10" s="364">
        <v>1</v>
      </c>
      <c r="K10" s="364">
        <v>1</v>
      </c>
      <c r="L10" s="364">
        <v>1</v>
      </c>
      <c r="M10" s="364">
        <v>1</v>
      </c>
      <c r="N10" s="364">
        <v>1</v>
      </c>
      <c r="O10" s="364">
        <v>1</v>
      </c>
      <c r="P10" s="364">
        <v>1.0009999999999999</v>
      </c>
      <c r="Q10" s="364">
        <v>1.0009999999999999</v>
      </c>
      <c r="R10" s="364" t="s">
        <v>34</v>
      </c>
      <c r="S10" s="364" t="s">
        <v>34</v>
      </c>
      <c r="T10" s="364" t="s">
        <v>34</v>
      </c>
      <c r="U10" s="21"/>
    </row>
    <row r="11" spans="1:21">
      <c r="A11" s="12">
        <f t="shared" si="0"/>
        <v>1989</v>
      </c>
      <c r="B11" s="364" t="s">
        <v>34</v>
      </c>
      <c r="C11" s="364">
        <v>1</v>
      </c>
      <c r="D11" s="364">
        <v>1</v>
      </c>
      <c r="E11" s="364">
        <v>1.0009999999999999</v>
      </c>
      <c r="F11" s="364">
        <v>1</v>
      </c>
      <c r="G11" s="364">
        <v>1.0009999999999999</v>
      </c>
      <c r="H11" s="364">
        <v>1</v>
      </c>
      <c r="I11" s="364">
        <v>1</v>
      </c>
      <c r="J11" s="364">
        <v>1</v>
      </c>
      <c r="K11" s="364">
        <v>1.0009999999999999</v>
      </c>
      <c r="L11" s="364">
        <v>1</v>
      </c>
      <c r="M11" s="364">
        <v>1</v>
      </c>
      <c r="N11" s="364">
        <v>1</v>
      </c>
      <c r="O11" s="364">
        <v>1</v>
      </c>
      <c r="P11" s="364">
        <v>1</v>
      </c>
      <c r="Q11" s="364" t="s">
        <v>34</v>
      </c>
      <c r="R11" s="364" t="s">
        <v>34</v>
      </c>
      <c r="S11" s="364" t="s">
        <v>34</v>
      </c>
      <c r="T11" s="364" t="s">
        <v>34</v>
      </c>
      <c r="U11" s="21"/>
    </row>
    <row r="12" spans="1:21">
      <c r="A12" s="12">
        <f t="shared" si="0"/>
        <v>1990</v>
      </c>
      <c r="B12" s="364">
        <v>1</v>
      </c>
      <c r="C12" s="364">
        <v>1.0009999999999999</v>
      </c>
      <c r="D12" s="364">
        <v>1</v>
      </c>
      <c r="E12" s="364">
        <v>0.999</v>
      </c>
      <c r="F12" s="364">
        <v>1.0009999999999999</v>
      </c>
      <c r="G12" s="364">
        <v>1</v>
      </c>
      <c r="H12" s="364">
        <v>1</v>
      </c>
      <c r="I12" s="364">
        <v>1</v>
      </c>
      <c r="J12" s="364">
        <v>1</v>
      </c>
      <c r="K12" s="364">
        <v>1</v>
      </c>
      <c r="L12" s="364">
        <v>1</v>
      </c>
      <c r="M12" s="364">
        <v>1.0009999999999999</v>
      </c>
      <c r="N12" s="364">
        <v>1</v>
      </c>
      <c r="O12" s="364">
        <v>1.0009999999999999</v>
      </c>
      <c r="P12" s="364" t="s">
        <v>34</v>
      </c>
      <c r="Q12" s="364" t="s">
        <v>34</v>
      </c>
      <c r="R12" s="364" t="s">
        <v>34</v>
      </c>
      <c r="S12" s="364" t="s">
        <v>34</v>
      </c>
      <c r="T12" s="364" t="s">
        <v>34</v>
      </c>
      <c r="U12" s="21"/>
    </row>
    <row r="13" spans="1:21">
      <c r="A13" s="12">
        <f t="shared" si="0"/>
        <v>1991</v>
      </c>
      <c r="B13" s="364">
        <v>1</v>
      </c>
      <c r="C13" s="364">
        <v>1.0009999999999999</v>
      </c>
      <c r="D13" s="364">
        <v>1.0009999999999999</v>
      </c>
      <c r="E13" s="364">
        <v>1</v>
      </c>
      <c r="F13" s="364">
        <v>1</v>
      </c>
      <c r="G13" s="364">
        <v>1</v>
      </c>
      <c r="H13" s="364">
        <v>1</v>
      </c>
      <c r="I13" s="364">
        <v>1</v>
      </c>
      <c r="J13" s="364">
        <v>1</v>
      </c>
      <c r="K13" s="364">
        <v>1</v>
      </c>
      <c r="L13" s="364">
        <v>1</v>
      </c>
      <c r="M13" s="364">
        <v>1.0009999999999999</v>
      </c>
      <c r="N13" s="364">
        <v>1.0009999999999999</v>
      </c>
      <c r="O13" s="364" t="s">
        <v>34</v>
      </c>
      <c r="P13" s="364" t="s">
        <v>34</v>
      </c>
      <c r="Q13" s="364" t="s">
        <v>34</v>
      </c>
      <c r="R13" s="364" t="s">
        <v>34</v>
      </c>
      <c r="S13" s="364" t="s">
        <v>34</v>
      </c>
      <c r="T13" s="364" t="s">
        <v>34</v>
      </c>
    </row>
    <row r="14" spans="1:21" ht="12.75" customHeight="1">
      <c r="A14" s="12">
        <f t="shared" si="0"/>
        <v>1992</v>
      </c>
      <c r="B14" s="364">
        <v>0.998</v>
      </c>
      <c r="C14" s="364">
        <v>1.0009999999999999</v>
      </c>
      <c r="D14" s="364">
        <v>1.0009999999999999</v>
      </c>
      <c r="E14" s="364">
        <v>1</v>
      </c>
      <c r="F14" s="364">
        <v>1.0009999999999999</v>
      </c>
      <c r="G14" s="364">
        <v>1.0009999999999999</v>
      </c>
      <c r="H14" s="364">
        <v>1</v>
      </c>
      <c r="I14" s="364">
        <v>1</v>
      </c>
      <c r="J14" s="364">
        <v>1</v>
      </c>
      <c r="K14" s="364">
        <v>1</v>
      </c>
      <c r="L14" s="364">
        <v>1.0009999999999999</v>
      </c>
      <c r="M14" s="364">
        <v>1.0009999999999999</v>
      </c>
      <c r="N14" s="364" t="s">
        <v>34</v>
      </c>
      <c r="O14" s="364" t="s">
        <v>34</v>
      </c>
      <c r="P14" s="364" t="s">
        <v>34</v>
      </c>
      <c r="Q14" s="364" t="s">
        <v>34</v>
      </c>
      <c r="R14" s="364" t="s">
        <v>34</v>
      </c>
      <c r="S14" s="364" t="s">
        <v>34</v>
      </c>
      <c r="T14" s="364" t="s">
        <v>34</v>
      </c>
    </row>
    <row r="15" spans="1:21" ht="12.75" customHeight="1">
      <c r="A15" s="12">
        <f t="shared" si="0"/>
        <v>1993</v>
      </c>
      <c r="B15" s="364">
        <v>0.999</v>
      </c>
      <c r="C15" s="364">
        <v>1.0009999999999999</v>
      </c>
      <c r="D15" s="364">
        <v>1.0009999999999999</v>
      </c>
      <c r="E15" s="364">
        <v>1.0009999999999999</v>
      </c>
      <c r="F15" s="364">
        <v>1.0009999999999999</v>
      </c>
      <c r="G15" s="364">
        <v>1</v>
      </c>
      <c r="H15" s="364">
        <v>1</v>
      </c>
      <c r="I15" s="364">
        <v>1</v>
      </c>
      <c r="J15" s="364">
        <v>1</v>
      </c>
      <c r="K15" s="364">
        <v>1.0009999999999999</v>
      </c>
      <c r="L15" s="364">
        <v>1</v>
      </c>
      <c r="M15" s="364" t="s">
        <v>34</v>
      </c>
      <c r="N15" s="364" t="s">
        <v>34</v>
      </c>
      <c r="O15" s="364" t="s">
        <v>34</v>
      </c>
      <c r="P15" s="364" t="s">
        <v>34</v>
      </c>
      <c r="Q15" s="364" t="s">
        <v>34</v>
      </c>
      <c r="R15" s="364" t="s">
        <v>34</v>
      </c>
      <c r="S15" s="364" t="s">
        <v>34</v>
      </c>
      <c r="T15" s="364" t="s">
        <v>34</v>
      </c>
    </row>
    <row r="16" spans="1:21" ht="12.75" customHeight="1">
      <c r="A16" s="12">
        <f t="shared" si="0"/>
        <v>1994</v>
      </c>
      <c r="B16" s="364">
        <v>1.0009999999999999</v>
      </c>
      <c r="C16" s="364">
        <v>1.0009999999999999</v>
      </c>
      <c r="D16" s="364">
        <v>1.002</v>
      </c>
      <c r="E16" s="364">
        <v>1</v>
      </c>
      <c r="F16" s="364">
        <v>1.0009999999999999</v>
      </c>
      <c r="G16" s="364">
        <v>1.0009999999999999</v>
      </c>
      <c r="H16" s="364">
        <v>0.999</v>
      </c>
      <c r="I16" s="364">
        <v>1.0009999999999999</v>
      </c>
      <c r="J16" s="364">
        <v>1.0009999999999999</v>
      </c>
      <c r="K16" s="364">
        <v>1.0009999999999999</v>
      </c>
      <c r="L16" s="364" t="s">
        <v>34</v>
      </c>
      <c r="M16" s="364" t="s">
        <v>34</v>
      </c>
      <c r="N16" s="364" t="s">
        <v>34</v>
      </c>
      <c r="O16" s="364" t="s">
        <v>34</v>
      </c>
      <c r="P16" s="364" t="s">
        <v>34</v>
      </c>
      <c r="Q16" s="364" t="s">
        <v>34</v>
      </c>
      <c r="R16" s="364" t="s">
        <v>34</v>
      </c>
      <c r="S16" s="364" t="s">
        <v>34</v>
      </c>
      <c r="T16" s="364" t="s">
        <v>34</v>
      </c>
    </row>
    <row r="17" spans="1:21" ht="12.75" customHeight="1">
      <c r="A17" s="12">
        <f t="shared" si="0"/>
        <v>1995</v>
      </c>
      <c r="B17" s="364">
        <v>1.0029999999999999</v>
      </c>
      <c r="C17" s="364">
        <v>1.0009999999999999</v>
      </c>
      <c r="D17" s="364">
        <v>0.998</v>
      </c>
      <c r="E17" s="364">
        <v>1.0009999999999999</v>
      </c>
      <c r="F17" s="364">
        <v>1</v>
      </c>
      <c r="G17" s="364">
        <v>1.0009999999999999</v>
      </c>
      <c r="H17" s="364">
        <v>1</v>
      </c>
      <c r="I17" s="364">
        <v>1.0009999999999999</v>
      </c>
      <c r="J17" s="364">
        <v>1.0009999999999999</v>
      </c>
      <c r="K17" s="364" t="s">
        <v>34</v>
      </c>
      <c r="L17" s="364" t="s">
        <v>34</v>
      </c>
      <c r="M17" s="364" t="s">
        <v>34</v>
      </c>
      <c r="N17" s="364" t="s">
        <v>34</v>
      </c>
      <c r="O17" s="364" t="s">
        <v>34</v>
      </c>
      <c r="P17" s="364" t="s">
        <v>34</v>
      </c>
      <c r="Q17" s="364" t="s">
        <v>34</v>
      </c>
      <c r="R17" s="364" t="s">
        <v>34</v>
      </c>
      <c r="S17" s="364" t="s">
        <v>34</v>
      </c>
      <c r="T17" s="364" t="s">
        <v>34</v>
      </c>
    </row>
    <row r="18" spans="1:21" ht="12.75" customHeight="1">
      <c r="A18" s="12">
        <f t="shared" si="0"/>
        <v>1996</v>
      </c>
      <c r="B18" s="364">
        <v>1.0029999999999999</v>
      </c>
      <c r="C18" s="364">
        <v>1</v>
      </c>
      <c r="D18" s="364">
        <v>1</v>
      </c>
      <c r="E18" s="364">
        <v>1</v>
      </c>
      <c r="F18" s="364">
        <v>1.0009999999999999</v>
      </c>
      <c r="G18" s="364">
        <v>1.0009999999999999</v>
      </c>
      <c r="H18" s="364">
        <v>1.002</v>
      </c>
      <c r="I18" s="364">
        <v>1.0009999999999999</v>
      </c>
      <c r="J18" s="364" t="s">
        <v>34</v>
      </c>
      <c r="K18" s="364" t="s">
        <v>34</v>
      </c>
      <c r="L18" s="364" t="s">
        <v>34</v>
      </c>
      <c r="M18" s="364" t="s">
        <v>34</v>
      </c>
      <c r="N18" s="364" t="s">
        <v>34</v>
      </c>
      <c r="O18" s="364" t="s">
        <v>34</v>
      </c>
      <c r="P18" s="364" t="s">
        <v>34</v>
      </c>
      <c r="Q18" s="364" t="s">
        <v>34</v>
      </c>
      <c r="R18" s="364" t="s">
        <v>34</v>
      </c>
      <c r="S18" s="364" t="s">
        <v>34</v>
      </c>
      <c r="T18" s="364" t="s">
        <v>34</v>
      </c>
    </row>
    <row r="19" spans="1:21" ht="12.75" customHeight="1">
      <c r="A19" s="12">
        <f t="shared" si="0"/>
        <v>1997</v>
      </c>
      <c r="B19" s="364">
        <v>1</v>
      </c>
      <c r="C19" s="364">
        <v>1</v>
      </c>
      <c r="D19" s="364">
        <v>1</v>
      </c>
      <c r="E19" s="364">
        <v>1</v>
      </c>
      <c r="F19" s="364">
        <v>1.0009999999999999</v>
      </c>
      <c r="G19" s="364">
        <v>1.0009999999999999</v>
      </c>
      <c r="H19" s="364">
        <v>1.0009999999999999</v>
      </c>
      <c r="I19" s="364" t="s">
        <v>34</v>
      </c>
      <c r="J19" s="364" t="s">
        <v>34</v>
      </c>
      <c r="K19" s="364" t="s">
        <v>34</v>
      </c>
      <c r="L19" s="364" t="s">
        <v>34</v>
      </c>
      <c r="M19" s="364" t="s">
        <v>34</v>
      </c>
      <c r="N19" s="364" t="s">
        <v>34</v>
      </c>
      <c r="O19" s="364" t="s">
        <v>34</v>
      </c>
      <c r="P19" s="364" t="s">
        <v>34</v>
      </c>
      <c r="Q19" s="364" t="s">
        <v>34</v>
      </c>
      <c r="R19" s="364" t="s">
        <v>34</v>
      </c>
      <c r="S19" s="364" t="s">
        <v>34</v>
      </c>
      <c r="T19" s="364" t="s">
        <v>34</v>
      </c>
    </row>
    <row r="20" spans="1:21" ht="12.75" customHeight="1">
      <c r="A20" s="12">
        <f t="shared" si="0"/>
        <v>1998</v>
      </c>
      <c r="B20" s="364">
        <v>1.0029999999999999</v>
      </c>
      <c r="C20" s="364">
        <v>1.0009999999999999</v>
      </c>
      <c r="D20" s="364">
        <v>1.0009999999999999</v>
      </c>
      <c r="E20" s="364">
        <v>1</v>
      </c>
      <c r="F20" s="364">
        <v>1.0009999999999999</v>
      </c>
      <c r="G20" s="364">
        <v>1.0009999999999999</v>
      </c>
      <c r="H20" s="364" t="s">
        <v>34</v>
      </c>
      <c r="I20" s="364" t="s">
        <v>34</v>
      </c>
      <c r="J20" s="364" t="s">
        <v>34</v>
      </c>
      <c r="K20" s="364" t="s">
        <v>34</v>
      </c>
      <c r="L20" s="364" t="s">
        <v>34</v>
      </c>
      <c r="M20" s="364" t="s">
        <v>34</v>
      </c>
      <c r="N20" s="364" t="s">
        <v>34</v>
      </c>
      <c r="O20" s="364" t="s">
        <v>34</v>
      </c>
      <c r="P20" s="364" t="s">
        <v>34</v>
      </c>
      <c r="Q20" s="364" t="s">
        <v>34</v>
      </c>
      <c r="R20" s="364" t="s">
        <v>34</v>
      </c>
      <c r="S20" s="364" t="s">
        <v>34</v>
      </c>
      <c r="T20" s="364" t="s">
        <v>34</v>
      </c>
    </row>
    <row r="21" spans="1:21" ht="12.75" customHeight="1">
      <c r="A21" s="12">
        <f t="shared" si="0"/>
        <v>1999</v>
      </c>
      <c r="B21" s="364">
        <v>1</v>
      </c>
      <c r="C21" s="364">
        <v>1</v>
      </c>
      <c r="D21" s="364">
        <v>1.002</v>
      </c>
      <c r="E21" s="364">
        <v>1.002</v>
      </c>
      <c r="F21" s="364">
        <v>1</v>
      </c>
      <c r="G21" s="364" t="s">
        <v>34</v>
      </c>
      <c r="H21" s="364" t="s">
        <v>34</v>
      </c>
      <c r="I21" s="364" t="s">
        <v>34</v>
      </c>
      <c r="J21" s="364" t="s">
        <v>34</v>
      </c>
      <c r="K21" s="364" t="s">
        <v>34</v>
      </c>
      <c r="L21" s="364" t="s">
        <v>34</v>
      </c>
      <c r="M21" s="364" t="s">
        <v>34</v>
      </c>
      <c r="N21" s="364" t="s">
        <v>34</v>
      </c>
      <c r="O21" s="364" t="s">
        <v>34</v>
      </c>
      <c r="P21" s="364" t="s">
        <v>34</v>
      </c>
      <c r="Q21" s="364" t="s">
        <v>34</v>
      </c>
      <c r="R21" s="364" t="s">
        <v>34</v>
      </c>
      <c r="S21" s="364" t="s">
        <v>34</v>
      </c>
      <c r="T21" s="364" t="s">
        <v>34</v>
      </c>
    </row>
    <row r="22" spans="1:21" ht="12.75" customHeight="1">
      <c r="A22" s="12">
        <f t="shared" si="0"/>
        <v>2000</v>
      </c>
      <c r="B22" s="364">
        <v>1.002</v>
      </c>
      <c r="C22" s="364">
        <v>1.0009999999999999</v>
      </c>
      <c r="D22" s="364">
        <v>1.0009999999999999</v>
      </c>
      <c r="E22" s="364">
        <v>1.002</v>
      </c>
      <c r="F22" s="364" t="s">
        <v>34</v>
      </c>
      <c r="G22" s="364" t="s">
        <v>34</v>
      </c>
      <c r="H22" s="364" t="s">
        <v>34</v>
      </c>
      <c r="I22" s="364" t="s">
        <v>34</v>
      </c>
      <c r="J22" s="364" t="s">
        <v>34</v>
      </c>
      <c r="K22" s="364" t="s">
        <v>34</v>
      </c>
      <c r="L22" s="364" t="s">
        <v>34</v>
      </c>
      <c r="M22" s="364" t="s">
        <v>34</v>
      </c>
      <c r="N22" s="364" t="s">
        <v>34</v>
      </c>
      <c r="O22" s="364" t="s">
        <v>34</v>
      </c>
      <c r="P22" s="364" t="s">
        <v>34</v>
      </c>
      <c r="Q22" s="364" t="s">
        <v>34</v>
      </c>
      <c r="R22" s="364" t="s">
        <v>34</v>
      </c>
      <c r="S22" s="364" t="s">
        <v>34</v>
      </c>
      <c r="T22" s="364" t="s">
        <v>34</v>
      </c>
    </row>
    <row r="23" spans="1:21" ht="12.75" customHeight="1">
      <c r="A23" s="12">
        <f t="shared" si="0"/>
        <v>2001</v>
      </c>
      <c r="B23" s="364">
        <v>1.0009999999999999</v>
      </c>
      <c r="C23" s="364">
        <v>1.002</v>
      </c>
      <c r="D23" s="364">
        <v>1.0009999999999999</v>
      </c>
      <c r="E23" s="364" t="s">
        <v>34</v>
      </c>
      <c r="F23" s="364" t="s">
        <v>34</v>
      </c>
      <c r="G23" s="364" t="s">
        <v>34</v>
      </c>
      <c r="H23" s="364" t="s">
        <v>34</v>
      </c>
      <c r="I23" s="364" t="s">
        <v>34</v>
      </c>
      <c r="J23" s="364" t="s">
        <v>34</v>
      </c>
      <c r="K23" s="364" t="s">
        <v>34</v>
      </c>
      <c r="L23" s="364" t="s">
        <v>34</v>
      </c>
      <c r="M23" s="364" t="s">
        <v>34</v>
      </c>
      <c r="N23" s="364" t="s">
        <v>34</v>
      </c>
      <c r="O23" s="364" t="s">
        <v>34</v>
      </c>
      <c r="P23" s="364" t="s">
        <v>34</v>
      </c>
      <c r="Q23" s="364" t="s">
        <v>34</v>
      </c>
      <c r="R23" s="364" t="s">
        <v>34</v>
      </c>
      <c r="S23" s="364" t="s">
        <v>34</v>
      </c>
      <c r="T23" s="364" t="s">
        <v>34</v>
      </c>
    </row>
    <row r="24" spans="1:21" ht="12.75" customHeight="1">
      <c r="A24" s="12">
        <f t="shared" si="0"/>
        <v>2002</v>
      </c>
      <c r="B24" s="364">
        <v>1.0009999999999999</v>
      </c>
      <c r="C24" s="364">
        <v>1.0029999999999999</v>
      </c>
      <c r="D24" s="364" t="s">
        <v>34</v>
      </c>
      <c r="E24" s="364" t="s">
        <v>34</v>
      </c>
      <c r="F24" s="364" t="s">
        <v>34</v>
      </c>
      <c r="G24" s="364" t="s">
        <v>34</v>
      </c>
      <c r="H24" s="364" t="s">
        <v>34</v>
      </c>
      <c r="I24" s="364" t="s">
        <v>34</v>
      </c>
      <c r="J24" s="364" t="s">
        <v>34</v>
      </c>
      <c r="K24" s="364" t="s">
        <v>34</v>
      </c>
      <c r="L24" s="364" t="s">
        <v>34</v>
      </c>
      <c r="M24" s="364" t="s">
        <v>34</v>
      </c>
      <c r="N24" s="364" t="s">
        <v>34</v>
      </c>
      <c r="O24" s="364" t="s">
        <v>34</v>
      </c>
      <c r="P24" s="364" t="s">
        <v>34</v>
      </c>
      <c r="Q24" s="364" t="s">
        <v>34</v>
      </c>
      <c r="R24" s="364" t="s">
        <v>34</v>
      </c>
      <c r="S24" s="364" t="s">
        <v>34</v>
      </c>
      <c r="T24" s="364" t="s">
        <v>34</v>
      </c>
    </row>
    <row r="25" spans="1:21" ht="12.75" customHeight="1">
      <c r="A25" s="12">
        <f>'Exhibit 2.1.1'!A13</f>
        <v>2003</v>
      </c>
      <c r="B25" s="364">
        <v>1.002</v>
      </c>
      <c r="C25" s="364" t="s">
        <v>34</v>
      </c>
      <c r="D25" s="364" t="s">
        <v>34</v>
      </c>
      <c r="E25" s="364" t="s">
        <v>34</v>
      </c>
      <c r="F25" s="364" t="s">
        <v>34</v>
      </c>
      <c r="G25" s="364" t="s">
        <v>34</v>
      </c>
      <c r="H25" s="364" t="s">
        <v>34</v>
      </c>
      <c r="I25" s="364" t="s">
        <v>34</v>
      </c>
      <c r="J25" s="364" t="s">
        <v>34</v>
      </c>
      <c r="K25" s="364" t="s">
        <v>34</v>
      </c>
      <c r="L25" s="364" t="s">
        <v>34</v>
      </c>
      <c r="M25" s="364" t="s">
        <v>34</v>
      </c>
      <c r="N25" s="364" t="s">
        <v>34</v>
      </c>
      <c r="O25" s="364" t="s">
        <v>34</v>
      </c>
      <c r="P25" s="364" t="s">
        <v>34</v>
      </c>
      <c r="Q25" s="364" t="s">
        <v>34</v>
      </c>
      <c r="R25" s="364" t="s">
        <v>34</v>
      </c>
      <c r="S25" s="364" t="s">
        <v>34</v>
      </c>
      <c r="T25" s="364" t="s">
        <v>34</v>
      </c>
    </row>
    <row r="26" spans="1:21">
      <c r="A26" s="120"/>
      <c r="B26" s="13"/>
      <c r="C26" s="13"/>
      <c r="D26" s="13"/>
      <c r="E26" s="13"/>
      <c r="F26" s="13"/>
      <c r="G26" s="13"/>
      <c r="H26" s="13"/>
      <c r="I26" s="13"/>
      <c r="J26" s="13"/>
      <c r="K26" s="13"/>
      <c r="L26" s="13"/>
      <c r="M26" s="13"/>
      <c r="N26" s="13"/>
      <c r="O26" s="13"/>
      <c r="P26" s="13"/>
      <c r="R26" s="13"/>
      <c r="S26" s="13"/>
      <c r="T26" s="13"/>
    </row>
    <row r="27" spans="1:21">
      <c r="A27" s="308"/>
      <c r="B27" s="13"/>
      <c r="C27" s="13"/>
      <c r="D27" s="13"/>
      <c r="E27" s="13"/>
      <c r="F27" s="13"/>
      <c r="G27" s="13"/>
      <c r="H27" s="13"/>
      <c r="I27" s="13"/>
      <c r="J27" s="13"/>
      <c r="K27" s="13"/>
      <c r="L27" s="13"/>
      <c r="M27" s="13"/>
      <c r="N27" s="13"/>
      <c r="O27" s="13"/>
      <c r="P27" s="13"/>
      <c r="R27" s="13"/>
      <c r="S27" s="13"/>
      <c r="T27" s="13"/>
    </row>
    <row r="28" spans="1:21">
      <c r="A28" s="14" t="s">
        <v>20</v>
      </c>
      <c r="B28" s="376">
        <f>AVERAGE(B20:B25)</f>
        <v>1.0014999999999998</v>
      </c>
      <c r="C28" s="376">
        <f>AVERAGE(C19:C24)</f>
        <v>1.0011666666666665</v>
      </c>
      <c r="D28" s="376">
        <f>AVERAGE(D18:D23)</f>
        <v>1.0008333333333332</v>
      </c>
      <c r="E28" s="376">
        <f>AVERAGE(E17:E22)</f>
        <v>1.0008333333333332</v>
      </c>
      <c r="F28" s="376">
        <f>AVERAGE(F16:F21)</f>
        <v>1.0006666666666666</v>
      </c>
      <c r="G28" s="376">
        <f>AVERAGE(G15:G20)</f>
        <v>1.0008333333333332</v>
      </c>
      <c r="H28" s="376">
        <f>AVERAGE(H14:H19)</f>
        <v>1.0003333333333335</v>
      </c>
      <c r="I28" s="376">
        <f>AVERAGE(I13:I18)</f>
        <v>1.0004999999999997</v>
      </c>
      <c r="J28" s="376">
        <f>AVERAGE(J12:J17)</f>
        <v>1.0003333333333331</v>
      </c>
      <c r="K28" s="376">
        <f>AVERAGE(K11:K16)</f>
        <v>1.0004999999999997</v>
      </c>
      <c r="L28" s="376">
        <f>AVERAGE(L10:L15)</f>
        <v>1.0001666666666666</v>
      </c>
      <c r="M28" s="376">
        <f>AVERAGE(M9:M14)</f>
        <v>1.0006666666666666</v>
      </c>
      <c r="N28" s="376">
        <f>AVERAGE(N8:N13)</f>
        <v>1.0001666666666666</v>
      </c>
      <c r="O28" s="376">
        <f>AVERAGE(O7:O12)</f>
        <v>1.0003333333333331</v>
      </c>
      <c r="P28" s="376">
        <f>AVERAGE(P6:P11)</f>
        <v>1.0001666666666666</v>
      </c>
      <c r="Q28" s="376">
        <f>AVERAGE(Q5:Q10)</f>
        <v>1.0001666666666666</v>
      </c>
      <c r="R28" s="376">
        <f>AVERAGE(R5:R9)</f>
        <v>1.0003999999999997</v>
      </c>
      <c r="S28" s="376">
        <f>AVERAGE(S5:S8)</f>
        <v>1.00075</v>
      </c>
      <c r="T28" s="376">
        <f>AVERAGE(T5:T7)</f>
        <v>1.0006666666666666</v>
      </c>
    </row>
    <row r="29" spans="1:21">
      <c r="A29" s="14" t="s">
        <v>24</v>
      </c>
      <c r="B29" s="13">
        <f t="shared" ref="B29:P29" si="1">C29*B28</f>
        <v>1.0146061430762119</v>
      </c>
      <c r="C29" s="13">
        <f t="shared" si="1"/>
        <v>1.0130865133062528</v>
      </c>
      <c r="D29" s="13">
        <f t="shared" si="1"/>
        <v>1.0119059563571695</v>
      </c>
      <c r="E29" s="13">
        <f t="shared" si="1"/>
        <v>1.0110634035209023</v>
      </c>
      <c r="F29" s="13">
        <f t="shared" si="1"/>
        <v>1.0102215522273796</v>
      </c>
      <c r="G29" s="13">
        <f t="shared" si="1"/>
        <v>1.0095485198807925</v>
      </c>
      <c r="H29" s="13">
        <f t="shared" si="1"/>
        <v>1.0087079299391766</v>
      </c>
      <c r="I29" s="13">
        <f t="shared" si="1"/>
        <v>1.0083718060038418</v>
      </c>
      <c r="J29" s="13">
        <f t="shared" si="1"/>
        <v>1.0078678720678083</v>
      </c>
      <c r="K29" s="13">
        <f t="shared" si="1"/>
        <v>1.0075320280584557</v>
      </c>
      <c r="L29" s="13">
        <f t="shared" si="1"/>
        <v>1.0070285138015551</v>
      </c>
      <c r="M29" s="13">
        <f t="shared" si="1"/>
        <v>1.0068607036842745</v>
      </c>
      <c r="N29" s="13">
        <f t="shared" si="1"/>
        <v>1.0061899104106675</v>
      </c>
      <c r="O29" s="13">
        <f t="shared" si="1"/>
        <v>1.006022240037328</v>
      </c>
      <c r="P29" s="13">
        <f t="shared" si="1"/>
        <v>1.0056870110336504</v>
      </c>
      <c r="Q29" s="13">
        <f t="shared" ref="Q29" si="2">R29*Q28</f>
        <v>1.0055194244629067</v>
      </c>
      <c r="R29" s="13">
        <f t="shared" ref="R29" si="3">S29*R28</f>
        <v>1.0053518658186036</v>
      </c>
      <c r="S29" s="13">
        <f t="shared" ref="S29" si="4">T29*S28</f>
        <v>1.004949885864258</v>
      </c>
      <c r="T29" s="13">
        <f t="shared" ref="T29" si="5">U29*T28</f>
        <v>1.004196738310525</v>
      </c>
      <c r="U29" s="364">
        <v>1.003527719830638</v>
      </c>
    </row>
    <row r="30" spans="1:21">
      <c r="A30" s="120"/>
      <c r="B30" s="13"/>
      <c r="C30" s="13"/>
      <c r="D30" s="13"/>
      <c r="E30" s="13"/>
      <c r="F30" s="13"/>
      <c r="G30" s="13"/>
      <c r="H30" s="13"/>
      <c r="I30" s="13"/>
      <c r="J30" s="13"/>
      <c r="K30" s="13"/>
      <c r="L30" s="13"/>
      <c r="M30" s="13"/>
      <c r="N30" s="13"/>
      <c r="O30" s="13"/>
      <c r="P30" s="13"/>
      <c r="Q30" s="13"/>
      <c r="R30" s="13"/>
      <c r="S30" s="13"/>
      <c r="T30" s="13"/>
    </row>
    <row r="31" spans="1:21" ht="15" customHeight="1">
      <c r="A31" s="9" t="s">
        <v>25</v>
      </c>
      <c r="B31" s="509" t="s">
        <v>507</v>
      </c>
      <c r="C31" s="509"/>
      <c r="D31" s="509"/>
      <c r="E31" s="509"/>
      <c r="F31" s="509"/>
      <c r="G31" s="509"/>
      <c r="H31" s="509"/>
      <c r="I31" s="509"/>
      <c r="J31" s="509"/>
      <c r="K31" s="509"/>
      <c r="L31" s="509"/>
      <c r="M31" s="509"/>
      <c r="N31" s="509"/>
      <c r="O31" s="509"/>
      <c r="P31" s="509"/>
      <c r="Q31" s="509"/>
      <c r="R31" s="509"/>
      <c r="S31" s="463"/>
      <c r="T31" s="279"/>
    </row>
    <row r="32" spans="1:21" ht="15" customHeight="1">
      <c r="B32" s="510"/>
      <c r="C32" s="510"/>
      <c r="D32" s="510"/>
      <c r="E32" s="510"/>
      <c r="F32" s="510"/>
      <c r="G32" s="510"/>
      <c r="H32" s="510"/>
      <c r="I32" s="510"/>
      <c r="J32" s="510"/>
      <c r="K32" s="510"/>
      <c r="L32" s="510"/>
      <c r="M32" s="510"/>
      <c r="N32" s="510"/>
      <c r="O32" s="510"/>
      <c r="P32" s="510"/>
      <c r="Q32" s="510"/>
      <c r="R32" s="510"/>
      <c r="S32" s="464"/>
      <c r="T32" s="280"/>
    </row>
  </sheetData>
  <mergeCells count="1">
    <mergeCell ref="B31:R32"/>
  </mergeCells>
  <printOptions horizontalCentered="1"/>
  <pageMargins left="0.7" right="0.7" top="0.75" bottom="0.75" header="0.3" footer="0.3"/>
  <pageSetup scale="73" orientation="landscape" blackAndWhite="1" r:id="rId1"/>
  <headerFooter scaleWithDoc="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1"/>
  <dimension ref="A1:M54"/>
  <sheetViews>
    <sheetView zoomScaleNormal="100" zoomScaleSheetLayoutView="85" workbookViewId="0"/>
  </sheetViews>
  <sheetFormatPr defaultColWidth="9.1796875" defaultRowHeight="12.5"/>
  <cols>
    <col min="1" max="1" width="9.1796875" style="108"/>
    <col min="2" max="2" width="5.81640625" style="108" customWidth="1"/>
    <col min="3" max="3" width="17.7265625" style="108" customWidth="1"/>
    <col min="4" max="4" width="5.81640625" style="108" customWidth="1"/>
    <col min="5" max="5" width="17.7265625" style="108" customWidth="1"/>
    <col min="6" max="6" width="5.81640625" style="108" customWidth="1"/>
    <col min="7" max="7" width="17.7265625" style="108" customWidth="1"/>
    <col min="8" max="8" width="5.81640625" style="108" customWidth="1"/>
    <col min="9" max="9" width="19.453125" style="108" customWidth="1"/>
    <col min="10" max="10" width="21.54296875" style="108" customWidth="1"/>
    <col min="11" max="11" width="9.1796875" style="108"/>
    <col min="12" max="12" width="21.54296875" style="108" customWidth="1"/>
    <col min="13" max="13" width="21.1796875" style="108" customWidth="1"/>
    <col min="14" max="16384" width="9.1796875" style="108"/>
  </cols>
  <sheetData>
    <row r="1" spans="1:11" ht="13">
      <c r="A1" s="275" t="s">
        <v>222</v>
      </c>
      <c r="B1" s="241"/>
      <c r="C1" s="241"/>
      <c r="D1" s="241"/>
      <c r="E1" s="241"/>
      <c r="F1" s="241"/>
      <c r="G1" s="241"/>
      <c r="H1" s="241"/>
      <c r="I1" s="241"/>
      <c r="J1" s="124"/>
    </row>
    <row r="2" spans="1:11" ht="13">
      <c r="A2" s="245" t="s">
        <v>235</v>
      </c>
      <c r="B2" s="241"/>
      <c r="C2" s="241"/>
      <c r="D2" s="241"/>
      <c r="E2" s="241"/>
      <c r="F2" s="241"/>
      <c r="G2" s="241"/>
      <c r="H2" s="241"/>
      <c r="I2" s="241"/>
      <c r="J2" s="121"/>
    </row>
    <row r="3" spans="1:11" ht="13">
      <c r="A3" s="245" t="s">
        <v>525</v>
      </c>
      <c r="B3" s="241"/>
      <c r="C3" s="241"/>
      <c r="D3" s="241"/>
      <c r="E3" s="241"/>
      <c r="F3" s="241"/>
      <c r="G3" s="241"/>
      <c r="H3" s="241"/>
      <c r="I3" s="241"/>
      <c r="J3" s="121"/>
    </row>
    <row r="4" spans="1:11">
      <c r="A4" s="122"/>
      <c r="B4" s="122"/>
      <c r="C4" s="122"/>
      <c r="D4" s="122"/>
      <c r="E4" s="122"/>
      <c r="F4" s="122"/>
      <c r="G4" s="122"/>
      <c r="H4" s="122"/>
      <c r="I4" s="122"/>
      <c r="J4" s="122"/>
    </row>
    <row r="5" spans="1:11">
      <c r="A5" s="122"/>
      <c r="B5" s="122"/>
      <c r="C5" s="27" t="s">
        <v>45</v>
      </c>
      <c r="D5" s="27"/>
      <c r="E5" s="27" t="s">
        <v>46</v>
      </c>
      <c r="F5" s="27"/>
      <c r="G5" s="27" t="s">
        <v>47</v>
      </c>
      <c r="H5" s="27"/>
      <c r="I5" s="27" t="s">
        <v>48</v>
      </c>
      <c r="J5" s="122"/>
    </row>
    <row r="6" spans="1:11">
      <c r="A6" s="122"/>
      <c r="B6" s="122"/>
      <c r="C6" s="122"/>
      <c r="D6" s="122"/>
      <c r="E6" s="122"/>
      <c r="F6" s="69"/>
      <c r="G6" s="122"/>
      <c r="H6" s="122"/>
      <c r="I6" s="122" t="s">
        <v>236</v>
      </c>
      <c r="J6" s="229"/>
    </row>
    <row r="7" spans="1:11">
      <c r="A7" s="122" t="s">
        <v>54</v>
      </c>
      <c r="B7" s="122"/>
      <c r="C7" s="122" t="s">
        <v>237</v>
      </c>
      <c r="D7" s="62"/>
      <c r="E7" s="61" t="s">
        <v>238</v>
      </c>
      <c r="F7" s="62"/>
      <c r="G7" s="61" t="s">
        <v>227</v>
      </c>
      <c r="H7" s="62"/>
      <c r="I7" s="122" t="s">
        <v>228</v>
      </c>
      <c r="J7" s="229"/>
    </row>
    <row r="8" spans="1:11">
      <c r="A8" s="26" t="s">
        <v>8</v>
      </c>
      <c r="B8" s="26"/>
      <c r="C8" s="26" t="s">
        <v>359</v>
      </c>
      <c r="D8" s="26"/>
      <c r="E8" s="26" t="s">
        <v>362</v>
      </c>
      <c r="F8" s="26"/>
      <c r="G8" s="26" t="s">
        <v>361</v>
      </c>
      <c r="H8" s="26"/>
      <c r="I8" s="26" t="s">
        <v>363</v>
      </c>
      <c r="J8" s="26"/>
    </row>
    <row r="9" spans="1:11">
      <c r="A9" s="122"/>
      <c r="B9" s="122"/>
      <c r="C9" s="69"/>
      <c r="D9" s="122"/>
      <c r="E9" s="69"/>
      <c r="F9" s="122"/>
      <c r="G9" s="69"/>
      <c r="H9" s="122"/>
      <c r="I9" s="122" t="s">
        <v>230</v>
      </c>
      <c r="J9" s="122"/>
    </row>
    <row r="10" spans="1:11">
      <c r="A10" s="162">
        <f>+'Exhibit 7.1'!A10</f>
        <v>1987</v>
      </c>
      <c r="B10" s="30"/>
      <c r="C10" s="33">
        <f>+SUMIFS('Exhibit 3.2'!F:F,'Exhibit 3.2'!A:A,A10)</f>
        <v>0.28543174509582087</v>
      </c>
      <c r="D10" s="33"/>
      <c r="E10" s="32">
        <f>+SUMIFS('Exhibit 4.4'!I:I,'Exhibit 4.4'!A:A,A10)</f>
        <v>0.80302859499261059</v>
      </c>
      <c r="F10" s="33"/>
      <c r="G10" s="33">
        <f>+SUMIFS('Exhibit 5.2'!S:S,'Exhibit 5.2'!A:A,A10)</f>
        <v>1.9323347810117277</v>
      </c>
      <c r="H10" s="61"/>
      <c r="I10" s="33">
        <f>C10*E10/G10</f>
        <v>0.11861808599779836</v>
      </c>
      <c r="J10" s="30"/>
      <c r="K10" s="112"/>
    </row>
    <row r="11" spans="1:11">
      <c r="A11" s="162">
        <f>+'Exhibit 7.1'!A11</f>
        <v>1988</v>
      </c>
      <c r="B11" s="30"/>
      <c r="C11" s="33">
        <f>+SUMIFS('Exhibit 3.2'!F:F,'Exhibit 3.2'!A:A,A11)</f>
        <v>0.27952018027791414</v>
      </c>
      <c r="D11" s="33"/>
      <c r="E11" s="32">
        <f>+SUMIFS('Exhibit 4.4'!I:I,'Exhibit 4.4'!A:A,A11)</f>
        <v>0.7736306310140757</v>
      </c>
      <c r="F11" s="33"/>
      <c r="G11" s="33">
        <f>+SUMIFS('Exhibit 5.2'!S:S,'Exhibit 5.2'!A:A,A11)</f>
        <v>1.6933016888966541</v>
      </c>
      <c r="H11" s="61"/>
      <c r="I11" s="33">
        <f t="shared" ref="I11:I38" si="0">C11*E11/G11</f>
        <v>0.12770634723129295</v>
      </c>
      <c r="J11" s="30"/>
      <c r="K11" s="112"/>
    </row>
    <row r="12" spans="1:11">
      <c r="A12" s="162">
        <f>+'Exhibit 7.1'!A12</f>
        <v>1989</v>
      </c>
      <c r="B12" s="30"/>
      <c r="C12" s="33">
        <f>+SUMIFS('Exhibit 3.2'!F:F,'Exhibit 3.2'!A:A,A12)</f>
        <v>0.29836722377858704</v>
      </c>
      <c r="D12" s="33"/>
      <c r="E12" s="32">
        <f>+SUMIFS('Exhibit 4.4'!I:I,'Exhibit 4.4'!A:A,A12)</f>
        <v>0.75109770001366571</v>
      </c>
      <c r="F12" s="33"/>
      <c r="G12" s="33">
        <f>+SUMIFS('Exhibit 5.2'!S:S,'Exhibit 5.2'!A:A,A12)</f>
        <v>1.6287302159144059</v>
      </c>
      <c r="H12" s="61"/>
      <c r="I12" s="33">
        <f t="shared" si="0"/>
        <v>0.13759365016369085</v>
      </c>
      <c r="J12" s="30"/>
      <c r="K12" s="112"/>
    </row>
    <row r="13" spans="1:11">
      <c r="A13" s="162">
        <f>+'Exhibit 7.1'!A13</f>
        <v>1990</v>
      </c>
      <c r="B13" s="30"/>
      <c r="C13" s="33">
        <f>+SUMIFS('Exhibit 3.2'!F:F,'Exhibit 3.2'!A:A,A13)</f>
        <v>0.33798029656599377</v>
      </c>
      <c r="D13" s="33"/>
      <c r="E13" s="32">
        <f>+SUMIFS('Exhibit 4.4'!I:I,'Exhibit 4.4'!A:A,A13)</f>
        <v>0.60834402112952646</v>
      </c>
      <c r="F13" s="33"/>
      <c r="G13" s="33">
        <f>+SUMIFS('Exhibit 5.2'!S:S,'Exhibit 5.2'!A:A,A13)</f>
        <v>1.5140810405598364</v>
      </c>
      <c r="H13" s="61"/>
      <c r="I13" s="33">
        <f t="shared" si="0"/>
        <v>0.13579741583679181</v>
      </c>
      <c r="J13" s="30"/>
      <c r="K13" s="112"/>
    </row>
    <row r="14" spans="1:11">
      <c r="A14" s="162">
        <f>+'Exhibit 7.1'!A14</f>
        <v>1991</v>
      </c>
      <c r="B14" s="30"/>
      <c r="C14" s="33">
        <f>+SUMIFS('Exhibit 3.2'!F:F,'Exhibit 3.2'!A:A,A14)</f>
        <v>0.35506243652936048</v>
      </c>
      <c r="D14" s="33"/>
      <c r="E14" s="32">
        <f>+SUMIFS('Exhibit 4.4'!I:I,'Exhibit 4.4'!A:A,A14)</f>
        <v>0.52027262140182673</v>
      </c>
      <c r="F14" s="33"/>
      <c r="G14" s="33">
        <f>+SUMIFS('Exhibit 5.2'!S:S,'Exhibit 5.2'!A:A,A14)</f>
        <v>1.3704353009623589</v>
      </c>
      <c r="H14" s="61"/>
      <c r="I14" s="33">
        <f t="shared" si="0"/>
        <v>0.13479604946306326</v>
      </c>
      <c r="J14" s="30"/>
      <c r="K14" s="112"/>
    </row>
    <row r="15" spans="1:11">
      <c r="A15" s="162">
        <f>+'Exhibit 7.1'!A15</f>
        <v>1992</v>
      </c>
      <c r="B15" s="30"/>
      <c r="C15" s="33">
        <f>+SUMIFS('Exhibit 3.2'!F:F,'Exhibit 3.2'!A:A,A15)</f>
        <v>0.29467502839829607</v>
      </c>
      <c r="D15" s="33"/>
      <c r="E15" s="32">
        <f>+SUMIFS('Exhibit 4.4'!I:I,'Exhibit 4.4'!A:A,A15)</f>
        <v>0.54869652817211556</v>
      </c>
      <c r="F15" s="33"/>
      <c r="G15" s="33">
        <f>+SUMIFS('Exhibit 5.2'!S:S,'Exhibit 5.2'!A:A,A15)</f>
        <v>1.2461393668095124</v>
      </c>
      <c r="H15" s="61"/>
      <c r="I15" s="33">
        <f t="shared" si="0"/>
        <v>0.12975046718500827</v>
      </c>
      <c r="J15" s="30"/>
      <c r="K15" s="112"/>
    </row>
    <row r="16" spans="1:11">
      <c r="A16" s="162">
        <f>+'Exhibit 7.1'!A16</f>
        <v>1993</v>
      </c>
      <c r="B16" s="30"/>
      <c r="C16" s="33">
        <f>+SUMIFS('Exhibit 3.2'!F:F,'Exhibit 3.2'!A:A,A16)</f>
        <v>0.24305190435685545</v>
      </c>
      <c r="D16" s="33"/>
      <c r="E16" s="32">
        <f>+SUMIFS('Exhibit 4.4'!I:I,'Exhibit 4.4'!A:A,A16)</f>
        <v>0.65694440524497588</v>
      </c>
      <c r="F16" s="33"/>
      <c r="G16" s="33">
        <f>+SUMIFS('Exhibit 5.2'!S:S,'Exhibit 5.2'!A:A,A16)</f>
        <v>1.2053837200628927</v>
      </c>
      <c r="H16" s="61"/>
      <c r="I16" s="33">
        <f t="shared" si="0"/>
        <v>0.13246536027800512</v>
      </c>
      <c r="J16" s="30"/>
      <c r="K16" s="112"/>
    </row>
    <row r="17" spans="1:11">
      <c r="A17" s="162">
        <f>+'Exhibit 7.1'!A17</f>
        <v>1994</v>
      </c>
      <c r="B17" s="30"/>
      <c r="C17" s="33">
        <f>+SUMIFS('Exhibit 3.2'!F:F,'Exhibit 3.2'!A:A,A17)</f>
        <v>0.27900722813677492</v>
      </c>
      <c r="D17" s="33"/>
      <c r="E17" s="32">
        <f>+SUMIFS('Exhibit 4.4'!I:I,'Exhibit 4.4'!A:A,A17)</f>
        <v>0.68829428691994166</v>
      </c>
      <c r="F17" s="33"/>
      <c r="G17" s="33">
        <f>+SUMIFS('Exhibit 5.2'!S:S,'Exhibit 5.2'!A:A,A17)</f>
        <v>1.3630304040310286</v>
      </c>
      <c r="H17" s="61"/>
      <c r="I17" s="33">
        <f t="shared" si="0"/>
        <v>0.14089126740531557</v>
      </c>
      <c r="J17" s="30"/>
      <c r="K17" s="112"/>
    </row>
    <row r="18" spans="1:11">
      <c r="A18" s="162">
        <f>+'Exhibit 7.1'!A18</f>
        <v>1995</v>
      </c>
      <c r="B18" s="30"/>
      <c r="C18" s="33">
        <f>+SUMIFS('Exhibit 3.2'!F:F,'Exhibit 3.2'!A:A,A18)</f>
        <v>0.41318438144761949</v>
      </c>
      <c r="D18" s="33"/>
      <c r="E18" s="32">
        <f>+SUMIFS('Exhibit 4.4'!I:I,'Exhibit 4.4'!A:A,A18)</f>
        <v>0.67876108744675212</v>
      </c>
      <c r="F18" s="33"/>
      <c r="G18" s="33">
        <f>+SUMIFS('Exhibit 5.2'!S:S,'Exhibit 5.2'!A:A,A18)</f>
        <v>1.7900798073231703</v>
      </c>
      <c r="H18" s="61"/>
      <c r="I18" s="33">
        <f t="shared" si="0"/>
        <v>0.15667093663649626</v>
      </c>
      <c r="J18" s="30"/>
      <c r="K18" s="112"/>
    </row>
    <row r="19" spans="1:11">
      <c r="A19" s="162">
        <f>+'Exhibit 7.1'!A19</f>
        <v>1996</v>
      </c>
      <c r="B19" s="30"/>
      <c r="C19" s="33">
        <f>+SUMIFS('Exhibit 3.2'!F:F,'Exhibit 3.2'!A:A,A19)</f>
        <v>0.44367578291820359</v>
      </c>
      <c r="D19" s="33"/>
      <c r="E19" s="32">
        <f>+SUMIFS('Exhibit 4.4'!I:I,'Exhibit 4.4'!A:A,A19)</f>
        <v>0.66936322772943091</v>
      </c>
      <c r="F19" s="33"/>
      <c r="G19" s="33">
        <f>+SUMIFS('Exhibit 5.2'!S:S,'Exhibit 5.2'!A:A,A19)</f>
        <v>1.851408902154918</v>
      </c>
      <c r="H19" s="61"/>
      <c r="I19" s="33">
        <f t="shared" si="0"/>
        <v>0.16040770559860959</v>
      </c>
      <c r="J19" s="30"/>
      <c r="K19" s="112"/>
    </row>
    <row r="20" spans="1:11">
      <c r="A20" s="162">
        <f>+'Exhibit 7.1'!A20</f>
        <v>1997</v>
      </c>
      <c r="B20" s="30"/>
      <c r="C20" s="33">
        <f>+SUMIFS('Exhibit 3.2'!F:F,'Exhibit 3.2'!A:A,A20)</f>
        <v>0.49912746106397271</v>
      </c>
      <c r="D20" s="33"/>
      <c r="E20" s="32">
        <f>+SUMIFS('Exhibit 4.4'!I:I,'Exhibit 4.4'!A:A,A20)</f>
        <v>0.66338348895994603</v>
      </c>
      <c r="F20" s="33"/>
      <c r="G20" s="33">
        <f>+SUMIFS('Exhibit 5.2'!S:S,'Exhibit 5.2'!A:A,A20)</f>
        <v>1.7978786698042459</v>
      </c>
      <c r="H20" s="61"/>
      <c r="I20" s="33">
        <f t="shared" si="0"/>
        <v>0.18416866617166641</v>
      </c>
      <c r="J20" s="30"/>
      <c r="K20" s="112"/>
    </row>
    <row r="21" spans="1:11">
      <c r="A21" s="162">
        <f>+'Exhibit 7.1'!A21</f>
        <v>1998</v>
      </c>
      <c r="B21" s="30"/>
      <c r="C21" s="33">
        <f>+SUMIFS('Exhibit 3.2'!F:F,'Exhibit 3.2'!A:A,A21)</f>
        <v>0.59880056227118661</v>
      </c>
      <c r="D21" s="33"/>
      <c r="E21" s="32">
        <f>+SUMIFS('Exhibit 4.4'!I:I,'Exhibit 4.4'!A:A,A21)</f>
        <v>0.58447472525299038</v>
      </c>
      <c r="F21" s="33"/>
      <c r="G21" s="33">
        <f>+SUMIFS('Exhibit 5.2'!S:S,'Exhibit 5.2'!A:A,A21)</f>
        <v>1.8054051010387213</v>
      </c>
      <c r="H21" s="61"/>
      <c r="I21" s="33">
        <f t="shared" si="0"/>
        <v>0.19385333181645958</v>
      </c>
      <c r="J21" s="30"/>
      <c r="K21" s="112"/>
    </row>
    <row r="22" spans="1:11">
      <c r="A22" s="162">
        <f>+'Exhibit 7.1'!A22</f>
        <v>1999</v>
      </c>
      <c r="B22" s="30"/>
      <c r="C22" s="33">
        <f>+SUMIFS('Exhibit 3.2'!F:F,'Exhibit 3.2'!A:A,A22)</f>
        <v>0.66054520973185504</v>
      </c>
      <c r="D22" s="33"/>
      <c r="E22" s="32">
        <f>+SUMIFS('Exhibit 4.4'!I:I,'Exhibit 4.4'!A:A,A22)</f>
        <v>0.50641140688211284</v>
      </c>
      <c r="F22" s="33"/>
      <c r="G22" s="33">
        <f>+SUMIFS('Exhibit 5.2'!S:S,'Exhibit 5.2'!A:A,A22)</f>
        <v>1.7148078358539498</v>
      </c>
      <c r="H22" s="61"/>
      <c r="I22" s="33">
        <f t="shared" si="0"/>
        <v>0.19507003757244262</v>
      </c>
      <c r="J22" s="30"/>
      <c r="K22" s="112"/>
    </row>
    <row r="23" spans="1:11">
      <c r="A23" s="162">
        <f>+'Exhibit 7.1'!A23</f>
        <v>2000</v>
      </c>
      <c r="B23" s="30"/>
      <c r="C23" s="33">
        <f>+SUMIFS('Exhibit 3.2'!F:F,'Exhibit 3.2'!A:A,A23)</f>
        <v>0.59998176542723669</v>
      </c>
      <c r="D23" s="33"/>
      <c r="E23" s="32">
        <f>+SUMIFS('Exhibit 4.4'!I:I,'Exhibit 4.4'!A:A,A23)</f>
        <v>0.46537039201069008</v>
      </c>
      <c r="F23" s="33"/>
      <c r="G23" s="33">
        <f>+SUMIFS('Exhibit 5.2'!S:S,'Exhibit 5.2'!A:A,A23)</f>
        <v>1.3569553355572124</v>
      </c>
      <c r="H23" s="61"/>
      <c r="I23" s="33">
        <f t="shared" si="0"/>
        <v>0.2057648782238542</v>
      </c>
      <c r="J23" s="30"/>
      <c r="K23" s="112"/>
    </row>
    <row r="24" spans="1:11" s="110" customFormat="1">
      <c r="A24" s="39">
        <f>+'Exhibit 7.1'!A24</f>
        <v>2001</v>
      </c>
      <c r="B24" s="29"/>
      <c r="C24" s="33">
        <f>+SUMIFS('Exhibit 3.2'!F:F,'Exhibit 3.2'!A:A,A24)</f>
        <v>0.53723411292205903</v>
      </c>
      <c r="D24" s="32"/>
      <c r="E24" s="32">
        <f>+SUMIFS('Exhibit 4.4'!I:I,'Exhibit 4.4'!A:A,A24)</f>
        <v>0.42425421866316787</v>
      </c>
      <c r="F24" s="32"/>
      <c r="G24" s="32">
        <f>+SUMIFS('Exhibit 5.2'!S:S,'Exhibit 5.2'!A:A,A24)</f>
        <v>1.1602520783500863</v>
      </c>
      <c r="H24" s="113"/>
      <c r="I24" s="32">
        <f t="shared" si="0"/>
        <v>0.19644337904661449</v>
      </c>
      <c r="J24" s="30"/>
      <c r="K24" s="127"/>
    </row>
    <row r="25" spans="1:11" s="110" customFormat="1">
      <c r="A25" s="39">
        <f>+'Exhibit 7.1'!A25</f>
        <v>2002</v>
      </c>
      <c r="B25" s="29"/>
      <c r="C25" s="33">
        <f>+SUMIFS('Exhibit 3.2'!F:F,'Exhibit 3.2'!A:A,A25)</f>
        <v>0.41825200318913258</v>
      </c>
      <c r="D25" s="32"/>
      <c r="E25" s="32">
        <f>+SUMIFS('Exhibit 4.4'!I:I,'Exhibit 4.4'!A:A,A25)</f>
        <v>0.44060964882765025</v>
      </c>
      <c r="F25" s="32"/>
      <c r="G25" s="32">
        <f>+SUMIFS('Exhibit 5.2'!S:S,'Exhibit 5.2'!A:A,A25)</f>
        <v>0.89409075840499819</v>
      </c>
      <c r="H25" s="113"/>
      <c r="I25" s="32">
        <f t="shared" si="0"/>
        <v>0.20611539322403846</v>
      </c>
      <c r="J25" s="30"/>
      <c r="K25" s="127"/>
    </row>
    <row r="26" spans="1:11" s="110" customFormat="1">
      <c r="A26" s="39">
        <f>+'Exhibit 7.1'!A26</f>
        <v>2003</v>
      </c>
      <c r="B26" s="29"/>
      <c r="C26" s="33">
        <f>+SUMIFS('Exhibit 3.2'!F:F,'Exhibit 3.2'!A:A,A26)</f>
        <v>0.26996439987402165</v>
      </c>
      <c r="D26" s="32"/>
      <c r="E26" s="32">
        <f>+SUMIFS('Exhibit 4.4'!I:I,'Exhibit 4.4'!A:A,A26)</f>
        <v>0.46226200095225384</v>
      </c>
      <c r="F26" s="32"/>
      <c r="G26" s="32">
        <f>+SUMIFS('Exhibit 5.2'!S:S,'Exhibit 5.2'!A:A,A26)</f>
        <v>0.63659313626620218</v>
      </c>
      <c r="H26" s="113"/>
      <c r="I26" s="32">
        <f t="shared" si="0"/>
        <v>0.19603460446273929</v>
      </c>
      <c r="J26" s="30"/>
      <c r="K26" s="127"/>
    </row>
    <row r="27" spans="1:11" s="110" customFormat="1">
      <c r="A27" s="39">
        <f>+'Exhibit 7.1'!A27</f>
        <v>2004</v>
      </c>
      <c r="B27" s="29"/>
      <c r="C27" s="33">
        <f>+SUMIFS('Exhibit 3.2'!F:F,'Exhibit 3.2'!A:A,A27)</f>
        <v>0.18470643260997655</v>
      </c>
      <c r="D27" s="32"/>
      <c r="E27" s="32">
        <f>+SUMIFS('Exhibit 4.4'!I:I,'Exhibit 4.4'!A:A,A27)</f>
        <v>0.69880876939116232</v>
      </c>
      <c r="F27" s="32"/>
      <c r="G27" s="32">
        <f>+SUMIFS('Exhibit 5.2'!S:S,'Exhibit 5.2'!A:A,A27)</f>
        <v>0.57248471519441402</v>
      </c>
      <c r="H27" s="113"/>
      <c r="I27" s="32">
        <f t="shared" si="0"/>
        <v>0.22546361753427088</v>
      </c>
      <c r="J27" s="30"/>
      <c r="K27" s="127"/>
    </row>
    <row r="28" spans="1:11" s="110" customFormat="1">
      <c r="A28" s="39">
        <f>+'Exhibit 7.1'!A28</f>
        <v>2005</v>
      </c>
      <c r="B28" s="29"/>
      <c r="C28" s="32">
        <f>+SUMIFS('Exhibit 3.2'!F:F,'Exhibit 3.2'!A:A,A28)</f>
        <v>0.1821888246687679</v>
      </c>
      <c r="D28" s="32"/>
      <c r="E28" s="32">
        <f>+SUMIFS('Exhibit 4.4'!I:I,'Exhibit 4.4'!A:A,A28)</f>
        <v>0.81162458698160544</v>
      </c>
      <c r="F28" s="32"/>
      <c r="G28" s="32">
        <f>+SUMIFS('Exhibit 5.2'!S:S,'Exhibit 5.2'!A:A,A28)</f>
        <v>0.63365729294516371</v>
      </c>
      <c r="H28" s="113"/>
      <c r="I28" s="32">
        <f>C28*E28/G28</f>
        <v>0.23335789111993913</v>
      </c>
      <c r="J28" s="30"/>
      <c r="K28" s="127"/>
    </row>
    <row r="29" spans="1:11" s="110" customFormat="1">
      <c r="A29" s="39">
        <f>+'Exhibit 7.1'!A29</f>
        <v>2006</v>
      </c>
      <c r="B29" s="29"/>
      <c r="C29" s="32">
        <f>+SUMIFS('Exhibit 3.2'!F:F,'Exhibit 3.2'!A:A,A29)</f>
        <v>0.23644887802164874</v>
      </c>
      <c r="D29" s="32"/>
      <c r="E29" s="32">
        <f>+SUMIFS('Exhibit 4.4'!I:I,'Exhibit 4.4'!A:A,A29)</f>
        <v>0.85273059850869037</v>
      </c>
      <c r="F29" s="32"/>
      <c r="G29" s="32">
        <f>+SUMIFS('Exhibit 5.2'!S:S,'Exhibit 5.2'!A:A,A29)</f>
        <v>0.81487819276996454</v>
      </c>
      <c r="H29" s="113"/>
      <c r="I29" s="32">
        <f t="shared" si="0"/>
        <v>0.24743230959062743</v>
      </c>
      <c r="J29" s="30"/>
      <c r="K29" s="127"/>
    </row>
    <row r="30" spans="1:11" s="110" customFormat="1">
      <c r="A30" s="39">
        <f>+'Exhibit 7.1'!A30</f>
        <v>2007</v>
      </c>
      <c r="B30" s="29"/>
      <c r="C30" s="32">
        <f>+SUMIFS('Exhibit 3.2'!F:F,'Exhibit 3.2'!A:A,A30)</f>
        <v>0.33492908312702913</v>
      </c>
      <c r="D30" s="32"/>
      <c r="E30" s="32">
        <f>+SUMIFS('Exhibit 4.4'!I:I,'Exhibit 4.4'!A:A,A30)</f>
        <v>0.8368160312268188</v>
      </c>
      <c r="F30" s="32"/>
      <c r="G30" s="32">
        <f>+SUMIFS('Exhibit 5.2'!S:S,'Exhibit 5.2'!A:A,A30)</f>
        <v>1.0415934710627588</v>
      </c>
      <c r="H30" s="113"/>
      <c r="I30" s="32">
        <f t="shared" si="0"/>
        <v>0.26908197283420809</v>
      </c>
      <c r="J30" s="30"/>
      <c r="K30" s="127"/>
    </row>
    <row r="31" spans="1:11" s="110" customFormat="1">
      <c r="A31" s="39">
        <f>+'Exhibit 7.1'!A31</f>
        <v>2008</v>
      </c>
      <c r="B31" s="29"/>
      <c r="C31" s="32">
        <f>+SUMIFS('Exhibit 3.2'!F:F,'Exhibit 3.2'!A:A,A31)</f>
        <v>0.4207110176578987</v>
      </c>
      <c r="D31" s="32"/>
      <c r="E31" s="32">
        <f>+SUMIFS('Exhibit 4.4'!I:I,'Exhibit 4.4'!A:A,A31)</f>
        <v>0.83098582470883187</v>
      </c>
      <c r="F31" s="32"/>
      <c r="G31" s="32">
        <f>+SUMIFS('Exhibit 5.2'!S:S,'Exhibit 5.2'!A:A,A31)</f>
        <v>1.2584903032763226</v>
      </c>
      <c r="H31" s="113"/>
      <c r="I31" s="32">
        <f t="shared" si="0"/>
        <v>0.27779704862436216</v>
      </c>
      <c r="J31" s="30"/>
      <c r="K31" s="127"/>
    </row>
    <row r="32" spans="1:11" s="110" customFormat="1">
      <c r="A32" s="39">
        <f>+'Exhibit 7.1'!A32</f>
        <v>2009</v>
      </c>
      <c r="B32" s="29"/>
      <c r="C32" s="32">
        <f>+SUMIFS('Exhibit 3.2'!F:F,'Exhibit 3.2'!A:A,A32)</f>
        <v>0.49517543512587153</v>
      </c>
      <c r="D32" s="32"/>
      <c r="E32" s="32">
        <f>+SUMIFS('Exhibit 4.4'!I:I,'Exhibit 4.4'!A:A,A32)</f>
        <v>0.81948032100196422</v>
      </c>
      <c r="F32" s="32"/>
      <c r="G32" s="32">
        <f>+SUMIFS('Exhibit 5.2'!S:S,'Exhibit 5.2'!A:A,A32)</f>
        <v>1.3574658358404941</v>
      </c>
      <c r="H32" s="113"/>
      <c r="I32" s="32">
        <f t="shared" si="0"/>
        <v>0.29892945650303465</v>
      </c>
      <c r="J32" s="30"/>
      <c r="K32" s="127"/>
    </row>
    <row r="33" spans="1:13" s="110" customFormat="1">
      <c r="A33" s="238">
        <f>+'Exhibit 7.1'!A33</f>
        <v>2010</v>
      </c>
      <c r="B33" s="37"/>
      <c r="C33" s="37">
        <f>+SUMIFS('Exhibit 3.2'!F:F,'Exhibit 3.2'!A:A,A33)</f>
        <v>0.49284705775494247</v>
      </c>
      <c r="D33" s="37"/>
      <c r="E33" s="37">
        <f>+SUMIFS('Exhibit 4.4'!I:I,'Exhibit 4.4'!A:A,A33)</f>
        <v>0.81702923330205812</v>
      </c>
      <c r="F33" s="37"/>
      <c r="G33" s="37">
        <f>+SUMIFS('Exhibit 5.2'!S:S,'Exhibit 5.2'!A:A,A33)</f>
        <v>1.2340727154933295</v>
      </c>
      <c r="H33" s="238"/>
      <c r="I33" s="37">
        <f t="shared" si="0"/>
        <v>0.32629394417145458</v>
      </c>
      <c r="J33" s="33"/>
      <c r="K33" s="127"/>
    </row>
    <row r="34" spans="1:13" s="110" customFormat="1">
      <c r="A34" s="113">
        <f>+'Exhibit 7.1'!A34</f>
        <v>2011</v>
      </c>
      <c r="B34" s="32"/>
      <c r="C34" s="32">
        <f>+SUMIFS('Exhibit 3.2'!F:F,'Exhibit 3.2'!A:A,A34)</f>
        <v>0.42678875956603557</v>
      </c>
      <c r="D34" s="32"/>
      <c r="E34" s="32">
        <f>+SUMIFS('Exhibit 4.4'!I:I,'Exhibit 4.4'!A:A,A34)</f>
        <v>0.83120967027698356</v>
      </c>
      <c r="F34" s="32"/>
      <c r="G34" s="32">
        <f>+SUMIFS('Exhibit 5.2'!S:S,'Exhibit 5.2'!A:A,A34)</f>
        <v>1.1272704346173374</v>
      </c>
      <c r="H34" s="113"/>
      <c r="I34" s="32">
        <f t="shared" si="0"/>
        <v>0.31469905820534605</v>
      </c>
      <c r="J34" s="33"/>
      <c r="K34" s="127"/>
    </row>
    <row r="35" spans="1:13" s="110" customFormat="1">
      <c r="A35" s="113">
        <f>+'Exhibit 7.1'!A35</f>
        <v>2012</v>
      </c>
      <c r="B35" s="32"/>
      <c r="C35" s="32">
        <f>+SUMIFS('Exhibit 3.2'!F:F,'Exhibit 3.2'!A:A,A35)</f>
        <v>0.37090470575458584</v>
      </c>
      <c r="D35" s="32"/>
      <c r="E35" s="32">
        <f>+SUMIFS('Exhibit 4.4'!I:I,'Exhibit 4.4'!A:A,A35)</f>
        <v>0.86950711098010225</v>
      </c>
      <c r="F35" s="32"/>
      <c r="G35" s="32">
        <f>+SUMIFS('Exhibit 5.2'!S:S,'Exhibit 5.2'!A:A,A35)</f>
        <v>1.0035997122091236</v>
      </c>
      <c r="H35" s="113"/>
      <c r="I35" s="32">
        <f t="shared" si="0"/>
        <v>0.32134752055647609</v>
      </c>
      <c r="J35" s="33"/>
      <c r="K35" s="127"/>
    </row>
    <row r="36" spans="1:13" s="110" customFormat="1" ht="12.75" customHeight="1">
      <c r="A36" s="113">
        <f>+'Exhibit 7.1'!A36</f>
        <v>2013</v>
      </c>
      <c r="B36" s="32"/>
      <c r="C36" s="32">
        <f>+SUMIFS('Exhibit 3.2'!F:F,'Exhibit 3.2'!A:A,A36)</f>
        <v>0.30329755998554658</v>
      </c>
      <c r="D36" s="32"/>
      <c r="E36" s="32">
        <f>+SUMIFS('Exhibit 4.4'!I:I,'Exhibit 4.4'!A:A,A36)</f>
        <v>0.94434059170068874</v>
      </c>
      <c r="F36" s="32"/>
      <c r="G36" s="32">
        <f>+SUMIFS('Exhibit 5.2'!S:S,'Exhibit 5.2'!A:A,A36)</f>
        <v>0.87691281287460654</v>
      </c>
      <c r="H36" s="113"/>
      <c r="I36" s="32">
        <f t="shared" si="0"/>
        <v>0.32661878473325723</v>
      </c>
      <c r="J36" s="33"/>
      <c r="K36" s="127"/>
    </row>
    <row r="37" spans="1:13" s="110" customFormat="1" ht="12.75" customHeight="1">
      <c r="A37" s="39">
        <f>+'Exhibit 7.1'!A37</f>
        <v>2014</v>
      </c>
      <c r="B37" s="32"/>
      <c r="C37" s="32">
        <f>+SUMIFS('Exhibit 3.2'!F:F,'Exhibit 3.2'!A:A,A37)</f>
        <v>0.27602009608428746</v>
      </c>
      <c r="D37" s="32"/>
      <c r="E37" s="32">
        <f>+SUMIFS('Exhibit 4.4'!I:I,'Exhibit 4.4'!A:A,A37)</f>
        <v>0.98875894601035386</v>
      </c>
      <c r="F37" s="32"/>
      <c r="G37" s="32">
        <f>+SUMIFS('Exhibit 5.2'!S:S,'Exhibit 5.2'!A:A,A37)</f>
        <v>0.80804005370448018</v>
      </c>
      <c r="H37" s="113"/>
      <c r="I37" s="32">
        <f t="shared" si="0"/>
        <v>0.33775224140286136</v>
      </c>
      <c r="J37" s="30"/>
      <c r="K37" s="127"/>
    </row>
    <row r="38" spans="1:13" ht="12.75" customHeight="1">
      <c r="A38" s="162">
        <f>+'Exhibit 7.1'!A38</f>
        <v>2015</v>
      </c>
      <c r="B38" s="33"/>
      <c r="C38" s="33">
        <f>+SUMIFS('Exhibit 3.2'!F:F,'Exhibit 3.2'!A:A,A38)</f>
        <v>0.26053129068475134</v>
      </c>
      <c r="D38" s="33"/>
      <c r="E38" s="32">
        <f>+SUMIFS('Exhibit 4.4'!I:I,'Exhibit 4.4'!A:A,A38)</f>
        <v>1.0079523751377264</v>
      </c>
      <c r="F38" s="33"/>
      <c r="G38" s="33">
        <f>+SUMIFS('Exhibit 5.2'!S:S,'Exhibit 5.2'!A:A,A38)</f>
        <v>0.77124105761197015</v>
      </c>
      <c r="H38" s="61"/>
      <c r="I38" s="33">
        <f t="shared" si="0"/>
        <v>0.34049423413284419</v>
      </c>
      <c r="J38" s="30"/>
    </row>
    <row r="39" spans="1:13" ht="12.75" customHeight="1">
      <c r="A39" s="61">
        <f>+'Exhibit 7.1'!A39</f>
        <v>2016</v>
      </c>
      <c r="B39" s="33"/>
      <c r="C39" s="33">
        <f>+SUMIFS('Exhibit 3.2'!F:F,'Exhibit 3.2'!A:A,A39)</f>
        <v>0.24646252793588372</v>
      </c>
      <c r="D39" s="33"/>
      <c r="E39" s="32">
        <f>+SUMIFS('Exhibit 4.4'!I:I,'Exhibit 4.4'!A:A,A39)</f>
        <v>1.0110137246961062</v>
      </c>
      <c r="F39" s="33"/>
      <c r="G39" s="33">
        <f>+SUMIFS('Exhibit 5.2'!S:S,'Exhibit 5.2'!A:A,A39)</f>
        <v>0.79686249671543408</v>
      </c>
      <c r="H39" s="33"/>
      <c r="I39" s="33">
        <f>C39*E39/G39</f>
        <v>0.31269761018187181</v>
      </c>
      <c r="J39" s="30"/>
    </row>
    <row r="40" spans="1:13" ht="12.75" customHeight="1">
      <c r="A40" s="162">
        <f>+'Exhibit 7.1'!A40</f>
        <v>2017</v>
      </c>
      <c r="B40" s="33"/>
      <c r="C40" s="33">
        <f>+SUMIFS('Exhibit 3.2'!F:F,'Exhibit 3.2'!A:A,A40)</f>
        <v>0.25113108970235082</v>
      </c>
      <c r="D40" s="33"/>
      <c r="E40" s="32">
        <f>+SUMIFS('Exhibit 4.4'!I:I,'Exhibit 4.4'!A:A,A40)</f>
        <v>1.0140660635473837</v>
      </c>
      <c r="F40" s="33"/>
      <c r="G40" s="33">
        <f>+SUMIFS('Exhibit 5.2'!S:S,'Exhibit 5.2'!A:A,A40)</f>
        <v>0.8348561240382969</v>
      </c>
      <c r="H40" s="33"/>
      <c r="I40" s="33">
        <f>C40*E40/G40</f>
        <v>0.30503880637179798</v>
      </c>
      <c r="J40" s="30"/>
    </row>
    <row r="41" spans="1:13" ht="12.75" customHeight="1">
      <c r="A41" s="252">
        <f>+'Exhibit 7.1'!A41</f>
        <v>2018</v>
      </c>
      <c r="B41" s="30"/>
      <c r="C41" s="33">
        <f>+SUMIFS('Exhibit 3.2'!F:F,'Exhibit 3.2'!A:A,A41)</f>
        <v>0.27298426567664907</v>
      </c>
      <c r="D41" s="33"/>
      <c r="E41" s="32">
        <f>+SUMIFS('Exhibit 4.4'!I:I,'Exhibit 4.4'!A:A,A41)</f>
        <v>1.0150872413121437</v>
      </c>
      <c r="F41" s="33"/>
      <c r="G41" s="33">
        <f>+SUMIFS('Exhibit 5.2'!S:S,'Exhibit 5.2'!A:A,A41)</f>
        <v>0.87886641278374644</v>
      </c>
      <c r="H41" s="33"/>
      <c r="I41" s="33">
        <f>C41*E41/G41</f>
        <v>0.31529575045384611</v>
      </c>
      <c r="J41" s="30"/>
    </row>
    <row r="42" spans="1:13" ht="12.75" customHeight="1">
      <c r="A42" s="252">
        <f>+'Exhibit 7.1'!A42</f>
        <v>2019</v>
      </c>
      <c r="B42" s="30"/>
      <c r="C42" s="33">
        <f>+SUMIFS('Exhibit 3.2'!F:F,'Exhibit 3.2'!A:A,A42)</f>
        <v>0.29420913019662792</v>
      </c>
      <c r="D42" s="33"/>
      <c r="E42" s="32">
        <f>+SUMIFS('Exhibit 4.4'!I:I,'Exhibit 4.4'!A:A,A42)</f>
        <v>1.0110430690359997</v>
      </c>
      <c r="F42" s="33"/>
      <c r="G42" s="33">
        <f>+SUMIFS('Exhibit 5.2'!S:S,'Exhibit 5.2'!A:A,A42)</f>
        <v>0.97298142084128703</v>
      </c>
      <c r="H42" s="33"/>
      <c r="I42" s="33">
        <f>C42*E42/G42</f>
        <v>0.30571817257847944</v>
      </c>
      <c r="J42" s="30"/>
      <c r="K42" s="431" t="s">
        <v>259</v>
      </c>
      <c r="L42" s="432"/>
      <c r="M42" s="433"/>
    </row>
    <row r="43" spans="1:13" ht="12.75" customHeight="1">
      <c r="A43" s="252">
        <f>+'Exhibit 7.1'!A43</f>
        <v>2020</v>
      </c>
      <c r="B43" s="30"/>
      <c r="C43" s="33">
        <f>+SUMIFS('Exhibit 3.2'!F:F,'Exhibit 3.2'!A:A,A43)</f>
        <v>0.28574137808726918</v>
      </c>
      <c r="D43" s="33"/>
      <c r="E43" s="32">
        <f>+SUMIFS('Exhibit 4.4'!I:I,'Exhibit 4.4'!A:A,A43)</f>
        <v>1.0070150089999996</v>
      </c>
      <c r="F43" s="33"/>
      <c r="G43" s="33">
        <f>+SUMIFS('Exhibit 5.2'!S:S,'Exhibit 5.2'!A:A,A43)</f>
        <v>1.0621878954115602</v>
      </c>
      <c r="H43" s="33"/>
      <c r="I43" s="33">
        <f>C43*E43/G43</f>
        <v>0.2708992049986903</v>
      </c>
      <c r="J43" s="30"/>
      <c r="K43" s="128" t="s">
        <v>376</v>
      </c>
      <c r="L43" s="129" t="s">
        <v>258</v>
      </c>
      <c r="M43" s="114" t="s">
        <v>260</v>
      </c>
    </row>
    <row r="44" spans="1:13" ht="12.75" customHeight="1">
      <c r="A44" s="162"/>
      <c r="B44" s="122"/>
      <c r="C44" s="122"/>
      <c r="D44" s="122"/>
      <c r="E44" s="61"/>
      <c r="F44" s="61"/>
      <c r="G44" s="61"/>
      <c r="H44" s="62"/>
      <c r="J44" s="122"/>
      <c r="K44" s="125" t="str">
        <f>+'Exhibit 6.1'!A48</f>
        <v>2019*</v>
      </c>
      <c r="L44" s="301">
        <f>'Exhibit 7.1'!L44</f>
        <v>8.9999999999999998E-4</v>
      </c>
      <c r="M44" s="115">
        <f>+'Exhibit 6.4'!$P$35</f>
        <v>0.01</v>
      </c>
    </row>
    <row r="45" spans="1:13" ht="12.75" customHeight="1">
      <c r="A45" s="225"/>
      <c r="B45" s="225"/>
      <c r="C45" s="225"/>
      <c r="D45" s="225"/>
      <c r="E45" s="61"/>
      <c r="F45" s="61"/>
      <c r="G45" s="61"/>
      <c r="H45" s="62"/>
      <c r="I45" s="61" t="s">
        <v>231</v>
      </c>
      <c r="J45" s="225"/>
      <c r="K45" s="125">
        <f>+'Exhibit 6.1'!A49</f>
        <v>2020</v>
      </c>
      <c r="L45" s="301">
        <f>'Exhibit 7.1'!L45</f>
        <v>-4.9000000000000002E-2</v>
      </c>
      <c r="M45" s="115">
        <f>+'Exhibit 6.4'!$P$35</f>
        <v>0.01</v>
      </c>
    </row>
    <row r="46" spans="1:13" ht="12.75" customHeight="1">
      <c r="A46" s="225">
        <f>+'Exhibit 7.1'!A46</f>
        <v>2021</v>
      </c>
      <c r="B46" s="122"/>
      <c r="C46" s="122"/>
      <c r="D46" s="122"/>
      <c r="E46" s="61"/>
      <c r="F46" s="61"/>
      <c r="G46" s="61"/>
      <c r="H46" s="62"/>
      <c r="I46" s="30">
        <f>I42*(1+L45)*(1+M45)*(1+L46)*(1+M46)</f>
        <v>0.30379341158755224</v>
      </c>
      <c r="J46" s="122"/>
      <c r="K46" s="125">
        <f>+'Exhibit 6.1'!A50</f>
        <v>2021</v>
      </c>
      <c r="L46" s="130">
        <f>'Exhibit 7.1'!L46</f>
        <v>2.4315705300673285E-2</v>
      </c>
      <c r="M46" s="115">
        <f>+'Exhibit 6.4'!$P$35</f>
        <v>0.01</v>
      </c>
    </row>
    <row r="47" spans="1:13">
      <c r="A47" s="162">
        <f>+'Exhibit 7.1'!A47</f>
        <v>2022</v>
      </c>
      <c r="B47" s="122"/>
      <c r="C47" s="122"/>
      <c r="D47" s="122"/>
      <c r="E47" s="61"/>
      <c r="F47" s="61"/>
      <c r="G47" s="61"/>
      <c r="H47" s="62"/>
      <c r="I47" s="30">
        <f>I46*(1+L47)*(1+M47)</f>
        <v>0.31040595183002534</v>
      </c>
      <c r="J47" s="122"/>
      <c r="K47" s="125">
        <f>+'Exhibit 6.1'!A51</f>
        <v>2022</v>
      </c>
      <c r="L47" s="130">
        <f>'Exhibit 7.1'!L47</f>
        <v>1.1650068275790515E-2</v>
      </c>
      <c r="M47" s="115">
        <f>+'Exhibit 6.4'!$P$35</f>
        <v>0.01</v>
      </c>
    </row>
    <row r="48" spans="1:13">
      <c r="A48" s="165" t="str">
        <f>+'Exhibit 7.1'!A48</f>
        <v>9/1/2022</v>
      </c>
      <c r="B48" s="122"/>
      <c r="C48" s="122"/>
      <c r="D48" s="122"/>
      <c r="E48" s="61"/>
      <c r="F48" s="61"/>
      <c r="G48" s="61"/>
      <c r="H48" s="62"/>
      <c r="I48" s="30">
        <f>I47*((1+L48)^(2/12))*((1+M48)^(2/12))</f>
        <v>0.31110027006893753</v>
      </c>
      <c r="J48" s="122"/>
      <c r="K48" s="126">
        <f>+'Exhibit 6.1'!A52</f>
        <v>2023</v>
      </c>
      <c r="L48" s="434">
        <f>'Exhibit 7.1'!L48</f>
        <v>3.4615014189245397E-3</v>
      </c>
      <c r="M48" s="116">
        <f>+'Exhibit 6.4'!$P$35</f>
        <v>0.01</v>
      </c>
    </row>
    <row r="49" spans="1:10">
      <c r="A49" s="162"/>
      <c r="B49" s="162"/>
      <c r="C49" s="162"/>
      <c r="D49" s="162"/>
      <c r="E49" s="61"/>
      <c r="F49" s="61"/>
      <c r="G49" s="61"/>
      <c r="H49" s="62"/>
      <c r="I49" s="62"/>
      <c r="J49" s="162"/>
    </row>
    <row r="50" spans="1:10" ht="27.75" customHeight="1">
      <c r="A50" s="31" t="s">
        <v>22</v>
      </c>
      <c r="B50" s="514" t="s">
        <v>239</v>
      </c>
      <c r="C50" s="514"/>
      <c r="D50" s="514"/>
      <c r="E50" s="514"/>
      <c r="F50" s="514"/>
      <c r="G50" s="514"/>
      <c r="H50" s="514"/>
      <c r="I50" s="514"/>
      <c r="J50" s="122"/>
    </row>
    <row r="51" spans="1:10">
      <c r="A51" s="31" t="s">
        <v>28</v>
      </c>
      <c r="B51" s="514" t="s">
        <v>240</v>
      </c>
      <c r="C51" s="514"/>
      <c r="D51" s="514"/>
      <c r="E51" s="514"/>
      <c r="F51" s="514"/>
      <c r="G51" s="514"/>
      <c r="H51" s="514"/>
      <c r="I51" s="514"/>
      <c r="J51" s="122"/>
    </row>
    <row r="52" spans="1:10">
      <c r="A52" s="31" t="s">
        <v>38</v>
      </c>
      <c r="B52" s="514" t="s">
        <v>234</v>
      </c>
      <c r="C52" s="514"/>
      <c r="D52" s="514"/>
      <c r="E52" s="514"/>
      <c r="F52" s="514"/>
      <c r="G52" s="514"/>
      <c r="H52" s="514"/>
      <c r="I52" s="514"/>
      <c r="J52" s="122"/>
    </row>
    <row r="53" spans="1:10" ht="52" customHeight="1">
      <c r="A53" s="31" t="s">
        <v>57</v>
      </c>
      <c r="B53" s="514" t="s">
        <v>556</v>
      </c>
      <c r="C53" s="514"/>
      <c r="D53" s="514"/>
      <c r="E53" s="514"/>
      <c r="F53" s="514"/>
      <c r="G53" s="514"/>
      <c r="H53" s="514"/>
      <c r="I53" s="514"/>
      <c r="J53" s="122"/>
    </row>
    <row r="54" spans="1:10" ht="27" customHeight="1">
      <c r="A54" s="31" t="s">
        <v>41</v>
      </c>
      <c r="B54" s="514" t="s">
        <v>364</v>
      </c>
      <c r="C54" s="514"/>
      <c r="D54" s="514"/>
      <c r="E54" s="514"/>
      <c r="F54" s="514"/>
      <c r="G54" s="514"/>
      <c r="H54" s="514"/>
      <c r="I54" s="514"/>
    </row>
  </sheetData>
  <mergeCells count="5">
    <mergeCell ref="B54:I54"/>
    <mergeCell ref="B51:I51"/>
    <mergeCell ref="B52:I52"/>
    <mergeCell ref="B53:I53"/>
    <mergeCell ref="B50:I50"/>
  </mergeCells>
  <printOptions horizontalCentered="1"/>
  <pageMargins left="0.5" right="0.5" top="0.75" bottom="0.75" header="0.33" footer="0.33"/>
  <pageSetup scale="72" orientation="portrait" blackAndWhite="1" horizontalDpi="1200" verticalDpi="1200" r:id="rId1"/>
  <headerFooter scaleWithDoc="0">
    <oddHeader>&amp;R&amp;"Arial,Regular"&amp;10Exhibit 7.3</oddHeader>
  </headerFooter>
  <ignoredErrors>
    <ignoredError sqref="C5:I5"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3">
    <pageSetUpPr fitToPage="1"/>
  </sheetPr>
  <dimension ref="A1:T30"/>
  <sheetViews>
    <sheetView zoomScaleNormal="100" zoomScaleSheetLayoutView="115" workbookViewId="0"/>
  </sheetViews>
  <sheetFormatPr defaultColWidth="9.1796875" defaultRowHeight="12.5"/>
  <cols>
    <col min="1" max="1" width="6.7265625" style="100" customWidth="1"/>
    <col min="2" max="7" width="7.7265625" style="100" customWidth="1"/>
    <col min="8" max="8" width="14" style="100" customWidth="1"/>
    <col min="9" max="9" width="5" style="100" customWidth="1"/>
    <col min="10" max="10" width="1.1796875" style="100" customWidth="1"/>
    <col min="11" max="11" width="7.7265625" style="100" customWidth="1"/>
    <col min="12" max="12" width="1.7265625" style="100" customWidth="1"/>
    <col min="13" max="13" width="7.7265625" style="100" customWidth="1"/>
    <col min="14" max="14" width="1.7265625" style="100" customWidth="1"/>
    <col min="15" max="15" width="7.7265625" style="100" customWidth="1"/>
    <col min="16" max="16384" width="9.1796875" style="100"/>
  </cols>
  <sheetData>
    <row r="1" spans="1:20" ht="14.5">
      <c r="A1" s="429" t="s">
        <v>446</v>
      </c>
      <c r="B1" s="276"/>
      <c r="C1" s="276"/>
      <c r="D1" s="276"/>
      <c r="E1" s="276"/>
      <c r="F1" s="276"/>
      <c r="G1" s="276"/>
      <c r="H1" s="276"/>
      <c r="I1" s="276"/>
      <c r="J1" s="276"/>
      <c r="K1" s="276"/>
      <c r="L1" s="276"/>
      <c r="M1" s="276"/>
      <c r="N1" s="276"/>
      <c r="O1" s="276"/>
      <c r="P1"/>
    </row>
    <row r="2" spans="1:20" ht="14.5">
      <c r="A2" s="430" t="s">
        <v>557</v>
      </c>
      <c r="B2" s="277"/>
      <c r="C2" s="277"/>
      <c r="D2" s="277"/>
      <c r="E2" s="277"/>
      <c r="F2" s="277"/>
      <c r="G2" s="277"/>
      <c r="H2" s="277"/>
      <c r="I2" s="277"/>
      <c r="J2" s="277"/>
      <c r="K2" s="277"/>
      <c r="L2" s="277"/>
      <c r="M2" s="277"/>
      <c r="N2" s="277"/>
      <c r="O2" s="277"/>
      <c r="P2"/>
    </row>
    <row r="3" spans="1:20" ht="13">
      <c r="A3" s="430" t="s">
        <v>525</v>
      </c>
      <c r="B3" s="277"/>
      <c r="C3" s="277"/>
      <c r="D3" s="277"/>
      <c r="E3" s="277"/>
      <c r="F3" s="277"/>
      <c r="G3" s="277"/>
      <c r="H3" s="277"/>
      <c r="I3" s="277"/>
      <c r="J3" s="277"/>
      <c r="K3" s="277"/>
      <c r="L3" s="277"/>
      <c r="M3" s="277"/>
      <c r="N3" s="277"/>
      <c r="O3" s="277"/>
    </row>
    <row r="4" spans="1:20" ht="13">
      <c r="A4" s="302"/>
      <c r="B4" s="277"/>
      <c r="C4" s="277"/>
      <c r="D4" s="277"/>
      <c r="E4" s="277"/>
      <c r="F4" s="277"/>
      <c r="G4" s="277"/>
      <c r="H4" s="277"/>
      <c r="I4" s="277"/>
      <c r="J4" s="277"/>
      <c r="K4" s="277"/>
      <c r="L4" s="277"/>
      <c r="M4" s="277"/>
      <c r="N4" s="277"/>
      <c r="O4" s="277"/>
    </row>
    <row r="5" spans="1:20">
      <c r="A5" s="93"/>
      <c r="B5" s="94"/>
      <c r="C5" s="94"/>
      <c r="D5" s="94"/>
      <c r="E5" s="94"/>
      <c r="F5" s="94"/>
      <c r="G5" s="95"/>
      <c r="H5" s="95"/>
      <c r="I5" s="95"/>
      <c r="J5" s="95"/>
      <c r="K5" s="95"/>
      <c r="L5" s="95"/>
      <c r="M5" s="96"/>
      <c r="N5" s="96"/>
      <c r="O5" s="96"/>
    </row>
    <row r="6" spans="1:20">
      <c r="A6" s="93"/>
      <c r="B6" s="94"/>
      <c r="C6" s="94"/>
      <c r="D6" s="94"/>
      <c r="E6" s="94"/>
      <c r="F6" s="94"/>
      <c r="G6" s="97"/>
      <c r="H6" s="97"/>
      <c r="I6" s="97"/>
      <c r="J6" s="97"/>
      <c r="K6" s="97"/>
      <c r="L6" s="97"/>
      <c r="M6" s="97"/>
      <c r="N6" s="97"/>
      <c r="O6" s="97"/>
    </row>
    <row r="7" spans="1:20">
      <c r="A7" s="93"/>
      <c r="B7" s="94"/>
      <c r="C7" s="94"/>
      <c r="D7" s="94"/>
      <c r="E7" s="94"/>
      <c r="F7" s="94"/>
      <c r="G7" s="97"/>
      <c r="H7" s="97"/>
      <c r="I7" s="97"/>
      <c r="J7" s="97"/>
      <c r="K7" s="95" t="s">
        <v>3</v>
      </c>
      <c r="L7" s="95"/>
      <c r="M7" s="95" t="s">
        <v>5</v>
      </c>
      <c r="N7" s="95"/>
      <c r="O7" s="95" t="s">
        <v>116</v>
      </c>
    </row>
    <row r="8" spans="1:20">
      <c r="A8" s="93"/>
      <c r="B8" s="94"/>
      <c r="C8" s="94"/>
      <c r="D8" s="94"/>
      <c r="E8" s="94"/>
      <c r="F8" s="94"/>
      <c r="G8" s="97"/>
      <c r="H8" s="97"/>
      <c r="I8" s="97"/>
      <c r="J8" s="97"/>
      <c r="K8" s="97"/>
      <c r="L8" s="97"/>
      <c r="M8" s="97"/>
      <c r="N8" s="97"/>
      <c r="O8" s="97"/>
    </row>
    <row r="9" spans="1:20" ht="28.5" customHeight="1">
      <c r="A9" s="98" t="s">
        <v>241</v>
      </c>
      <c r="B9" s="546" t="s">
        <v>242</v>
      </c>
      <c r="C9" s="546"/>
      <c r="D9" s="546"/>
      <c r="E9" s="546"/>
      <c r="F9" s="546"/>
      <c r="G9" s="546"/>
      <c r="H9" s="546"/>
      <c r="I9" s="97"/>
      <c r="J9" s="97"/>
      <c r="K9" s="99">
        <f ca="1">+ROUND('Exhibit 7.1'!I48,3)</f>
        <v>0.28499999999999998</v>
      </c>
      <c r="L9" s="99"/>
      <c r="M9" s="99">
        <f>+ROUND('Exhibit 7.3'!I48,3)</f>
        <v>0.311</v>
      </c>
      <c r="N9" s="99"/>
      <c r="O9" s="99">
        <f ca="1">ROUND(M9,3)+ROUND(K9,3)</f>
        <v>0.59599999999999997</v>
      </c>
      <c r="Q9" s="455" t="s">
        <v>465</v>
      </c>
      <c r="R9" s="456" t="s">
        <v>466</v>
      </c>
      <c r="S9" s="456" t="s">
        <v>467</v>
      </c>
      <c r="T9" s="457" t="s">
        <v>403</v>
      </c>
    </row>
    <row r="10" spans="1:20">
      <c r="A10" s="93"/>
      <c r="G10" s="97"/>
      <c r="H10" s="97"/>
      <c r="I10" s="97"/>
      <c r="J10" s="97"/>
      <c r="K10" s="97"/>
      <c r="L10" s="97"/>
      <c r="M10" s="97"/>
      <c r="N10" s="97"/>
      <c r="O10" s="97"/>
      <c r="Q10" s="458"/>
      <c r="R10" s="454"/>
      <c r="S10" s="454"/>
      <c r="T10" s="459"/>
    </row>
    <row r="11" spans="1:20">
      <c r="A11" s="101" t="s">
        <v>350</v>
      </c>
      <c r="B11" s="100" t="s">
        <v>243</v>
      </c>
      <c r="K11" s="102"/>
      <c r="L11" s="102"/>
      <c r="M11" s="96"/>
      <c r="N11" s="96"/>
      <c r="O11" s="111">
        <f>1+T11</f>
        <v>1.335</v>
      </c>
      <c r="Q11" s="460">
        <v>0.159</v>
      </c>
      <c r="R11" s="461">
        <v>3.9E-2</v>
      </c>
      <c r="S11" s="461">
        <v>0.13700000000000001</v>
      </c>
      <c r="T11" s="462">
        <f>SUM(Q11:S11)</f>
        <v>0.33500000000000002</v>
      </c>
    </row>
    <row r="12" spans="1:20">
      <c r="A12" s="93"/>
      <c r="B12" s="100" t="s">
        <v>355</v>
      </c>
      <c r="K12" s="97"/>
      <c r="L12" s="97"/>
      <c r="M12" s="97"/>
      <c r="N12" s="97"/>
      <c r="O12" s="97"/>
    </row>
    <row r="13" spans="1:20">
      <c r="A13" s="93"/>
      <c r="J13" s="181"/>
      <c r="K13" s="103"/>
      <c r="L13" s="103"/>
      <c r="M13" s="103"/>
      <c r="N13" s="102"/>
    </row>
    <row r="14" spans="1:20" ht="39.75" customHeight="1">
      <c r="A14" s="98" t="s">
        <v>351</v>
      </c>
      <c r="B14" s="514" t="s">
        <v>558</v>
      </c>
      <c r="C14" s="514"/>
      <c r="D14" s="514"/>
      <c r="E14" s="514"/>
      <c r="F14" s="514"/>
      <c r="G14" s="514"/>
      <c r="H14" s="514"/>
      <c r="I14" s="547"/>
      <c r="J14" s="181"/>
      <c r="K14" s="103"/>
      <c r="L14" s="103"/>
      <c r="M14" s="103"/>
      <c r="N14" s="102"/>
      <c r="O14" s="103">
        <f ca="1">+O9*O11</f>
        <v>0.79565999999999992</v>
      </c>
    </row>
    <row r="15" spans="1:20" ht="12.75" customHeight="1">
      <c r="A15" s="98"/>
      <c r="B15" s="315"/>
      <c r="C15" s="315"/>
      <c r="D15" s="315"/>
      <c r="E15" s="315"/>
      <c r="F15" s="315"/>
      <c r="G15" s="315"/>
      <c r="H15" s="315"/>
      <c r="I15" s="316"/>
      <c r="J15" s="317"/>
      <c r="K15" s="103"/>
      <c r="L15" s="103"/>
      <c r="M15" s="103"/>
      <c r="N15" s="102"/>
      <c r="O15" s="103"/>
    </row>
    <row r="16" spans="1:20" ht="12.75" customHeight="1">
      <c r="A16" s="60" t="s">
        <v>244</v>
      </c>
      <c r="B16" s="499" t="s">
        <v>559</v>
      </c>
      <c r="C16" s="468"/>
      <c r="D16" s="468"/>
      <c r="E16" s="468"/>
      <c r="F16" s="468"/>
      <c r="G16" s="468"/>
      <c r="H16" s="468"/>
      <c r="I16" s="475"/>
      <c r="J16" s="317"/>
      <c r="K16" s="103"/>
      <c r="L16" s="103"/>
      <c r="M16" s="503">
        <f>0.15*0.159</f>
        <v>2.385E-2</v>
      </c>
      <c r="N16" s="102"/>
      <c r="O16" s="103"/>
    </row>
    <row r="17" spans="1:15" ht="12.75" customHeight="1">
      <c r="A17" s="60"/>
      <c r="B17" s="499" t="s">
        <v>560</v>
      </c>
      <c r="C17" s="468"/>
      <c r="D17" s="468"/>
      <c r="E17" s="468"/>
      <c r="F17" s="468"/>
      <c r="G17" s="468"/>
      <c r="H17" s="468"/>
      <c r="I17" s="475"/>
      <c r="J17" s="317"/>
      <c r="K17" s="103"/>
      <c r="L17" s="103"/>
      <c r="M17" s="103"/>
      <c r="N17" s="102"/>
      <c r="O17" s="103"/>
    </row>
    <row r="18" spans="1:15" ht="12.75" customHeight="1">
      <c r="A18" s="60"/>
      <c r="B18" s="499"/>
      <c r="C18" s="468"/>
      <c r="D18" s="468"/>
      <c r="E18" s="468"/>
      <c r="F18" s="468"/>
      <c r="G18" s="468"/>
      <c r="H18" s="468"/>
      <c r="I18" s="475"/>
      <c r="J18" s="317"/>
      <c r="K18" s="103"/>
      <c r="L18" s="103"/>
      <c r="M18" s="103"/>
      <c r="N18" s="102"/>
      <c r="O18" s="103"/>
    </row>
    <row r="19" spans="1:15" ht="12.75" customHeight="1">
      <c r="A19" s="500" t="s">
        <v>345</v>
      </c>
      <c r="B19" s="501" t="s">
        <v>561</v>
      </c>
      <c r="C19" s="473"/>
      <c r="D19" s="473"/>
      <c r="E19" s="473"/>
      <c r="F19" s="473"/>
      <c r="G19" s="473"/>
      <c r="H19" s="473"/>
      <c r="I19" s="473"/>
      <c r="J19" s="317"/>
      <c r="K19" s="103"/>
      <c r="L19" s="103"/>
      <c r="M19" s="503">
        <f>0.22*0.065</f>
        <v>1.43E-2</v>
      </c>
      <c r="N19" s="102"/>
    </row>
    <row r="20" spans="1:15" ht="12.75" customHeight="1">
      <c r="A20" s="502"/>
      <c r="B20" s="499" t="s">
        <v>562</v>
      </c>
      <c r="C20" s="468"/>
      <c r="D20" s="468"/>
      <c r="E20" s="468"/>
      <c r="F20" s="468"/>
      <c r="G20" s="468"/>
      <c r="H20" s="468"/>
      <c r="I20" s="468"/>
      <c r="J20" s="317"/>
      <c r="K20" s="103"/>
      <c r="L20" s="103"/>
      <c r="M20" s="103"/>
      <c r="N20" s="102"/>
      <c r="O20" s="288"/>
    </row>
    <row r="21" spans="1:15" ht="12.75" customHeight="1">
      <c r="A21" s="147"/>
      <c r="B21" s="315"/>
      <c r="C21" s="315"/>
      <c r="D21" s="315"/>
      <c r="E21" s="315"/>
      <c r="F21" s="315"/>
      <c r="G21" s="315"/>
      <c r="H21" s="315"/>
      <c r="I21" s="316"/>
      <c r="J21" s="317"/>
      <c r="K21" s="103"/>
      <c r="L21" s="103"/>
      <c r="M21" s="103"/>
      <c r="N21" s="102"/>
      <c r="O21" s="103"/>
    </row>
    <row r="22" spans="1:15" ht="39.75" customHeight="1">
      <c r="A22" s="147" t="s">
        <v>245</v>
      </c>
      <c r="B22" s="514" t="s">
        <v>563</v>
      </c>
      <c r="C22" s="514"/>
      <c r="D22" s="514"/>
      <c r="E22" s="514"/>
      <c r="F22" s="514"/>
      <c r="G22" s="514"/>
      <c r="H22" s="514"/>
      <c r="I22" s="514"/>
      <c r="J22" s="514"/>
      <c r="K22" s="514"/>
      <c r="L22" s="103"/>
      <c r="M22" s="103"/>
      <c r="N22" s="102"/>
      <c r="O22" s="504">
        <f ca="1">O14+M9*(M19+M16)</f>
        <v>0.80752464999999995</v>
      </c>
    </row>
    <row r="23" spans="1:15" ht="12.75" customHeight="1">
      <c r="A23" s="147"/>
      <c r="B23" s="181"/>
      <c r="C23" s="181"/>
      <c r="D23" s="181"/>
      <c r="E23" s="181"/>
      <c r="F23" s="181"/>
      <c r="G23" s="181"/>
      <c r="H23" s="181"/>
      <c r="I23" s="181"/>
      <c r="J23" s="181"/>
      <c r="K23" s="103"/>
      <c r="L23" s="103"/>
      <c r="M23" s="103"/>
      <c r="N23" s="102"/>
      <c r="O23" s="103"/>
    </row>
    <row r="24" spans="1:15" ht="39.75" customHeight="1">
      <c r="A24" s="147" t="s">
        <v>298</v>
      </c>
      <c r="B24" s="526" t="s">
        <v>564</v>
      </c>
      <c r="C24" s="526"/>
      <c r="D24" s="526"/>
      <c r="E24" s="526"/>
      <c r="F24" s="526"/>
      <c r="G24" s="526"/>
      <c r="H24" s="526"/>
      <c r="I24" s="526"/>
      <c r="J24" s="526"/>
      <c r="K24" s="526"/>
      <c r="L24" s="155"/>
      <c r="M24" s="155"/>
      <c r="N24" s="30"/>
      <c r="O24" s="288">
        <f>1.015/1.019-1</f>
        <v>-3.9254170755642637E-3</v>
      </c>
    </row>
    <row r="25" spans="1:15">
      <c r="A25" s="147"/>
    </row>
    <row r="26" spans="1:15" ht="40.15" customHeight="1">
      <c r="A26" s="147" t="s">
        <v>405</v>
      </c>
      <c r="B26" s="514" t="s">
        <v>565</v>
      </c>
      <c r="C26" s="514"/>
      <c r="D26" s="514"/>
      <c r="E26" s="514"/>
      <c r="F26" s="514"/>
      <c r="G26" s="514"/>
      <c r="H26" s="514"/>
      <c r="I26" s="547"/>
      <c r="J26" s="181"/>
      <c r="K26" s="103"/>
      <c r="L26" s="103"/>
      <c r="M26" s="103"/>
      <c r="N26" s="102"/>
      <c r="O26" s="505">
        <f ca="1">+ROUND(O22*(1+O24)-1,3)</f>
        <v>-0.19600000000000001</v>
      </c>
    </row>
    <row r="27" spans="1:15">
      <c r="A27" s="147"/>
      <c r="B27" s="179"/>
      <c r="C27" s="179"/>
      <c r="D27" s="179"/>
      <c r="E27" s="179"/>
      <c r="F27" s="179"/>
      <c r="G27" s="179"/>
      <c r="H27" s="179"/>
      <c r="I27" s="181"/>
      <c r="J27" s="181"/>
      <c r="K27" s="103"/>
      <c r="L27" s="103"/>
      <c r="M27" s="103"/>
      <c r="N27" s="102"/>
      <c r="O27" s="103"/>
    </row>
    <row r="28" spans="1:15" ht="28.15" customHeight="1">
      <c r="A28" s="147" t="s">
        <v>404</v>
      </c>
      <c r="B28" s="514" t="s">
        <v>566</v>
      </c>
      <c r="C28" s="514"/>
      <c r="D28" s="514"/>
      <c r="E28" s="514"/>
      <c r="F28" s="514"/>
      <c r="G28" s="514"/>
      <c r="H28" s="514"/>
      <c r="I28" s="545"/>
      <c r="O28" s="402">
        <v>1.86</v>
      </c>
    </row>
    <row r="29" spans="1:15">
      <c r="A29" s="147"/>
      <c r="B29" s="174"/>
      <c r="C29" s="174"/>
      <c r="D29" s="174"/>
      <c r="E29" s="174"/>
      <c r="F29" s="174"/>
      <c r="G29" s="174"/>
      <c r="H29" s="174"/>
      <c r="O29" s="97"/>
    </row>
    <row r="30" spans="1:15" ht="39.65" customHeight="1">
      <c r="A30" s="147" t="s">
        <v>569</v>
      </c>
      <c r="B30" s="514" t="s">
        <v>567</v>
      </c>
      <c r="C30" s="514"/>
      <c r="D30" s="514"/>
      <c r="E30" s="514"/>
      <c r="F30" s="514"/>
      <c r="G30" s="514"/>
      <c r="H30" s="514"/>
      <c r="I30" s="545"/>
      <c r="O30" s="104">
        <f ca="1">+ROUND(O28*(1+O26),2)</f>
        <v>1.5</v>
      </c>
    </row>
  </sheetData>
  <sheetProtection selectLockedCells="1"/>
  <mergeCells count="7">
    <mergeCell ref="B30:I30"/>
    <mergeCell ref="B9:H9"/>
    <mergeCell ref="B14:I14"/>
    <mergeCell ref="B26:I26"/>
    <mergeCell ref="B28:I28"/>
    <mergeCell ref="B22:K22"/>
    <mergeCell ref="B24:K24"/>
  </mergeCells>
  <printOptions horizontalCentered="1"/>
  <pageMargins left="0.5" right="0.5" top="0.75" bottom="0.75" header="0.33" footer="0.33"/>
  <pageSetup scale="95" orientation="portrait" blackAndWhite="1" r:id="rId1"/>
  <headerFooter scaleWithDoc="0">
    <oddHeader>&amp;R&amp;"Arial,Regular"&amp;10Exhibit 8</oddHeader>
  </headerFooter>
  <ignoredErrors>
    <ignoredError sqref="B3:O3 J25:N25 J12:O12 J10:O10 J9 J28:N28 J29:N29 J13:O13 J14:N14 J27:N27 J26:N26 J30:N30 O27 O29 N9:O9 L9 J11:N11 A5:O8" unlockedFormula="1"/>
    <ignoredError sqref="A10 A9 A12:A13" numberStoredAsText="1" unlockedFormula="1"/>
    <ignoredError sqref="A31 A29"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Q35"/>
  <sheetViews>
    <sheetView zoomScaleNormal="100" workbookViewId="0"/>
  </sheetViews>
  <sheetFormatPr defaultColWidth="9.1796875" defaultRowHeight="12.5"/>
  <cols>
    <col min="1" max="1" width="14" style="120" customWidth="1"/>
    <col min="2" max="17" width="7.7265625" style="120" customWidth="1"/>
    <col min="18" max="16384" width="9.1796875" style="120"/>
  </cols>
  <sheetData>
    <row r="1" spans="1:17" ht="13.15" customHeight="1">
      <c r="A1" s="240" t="s">
        <v>27</v>
      </c>
      <c r="B1" s="240"/>
      <c r="C1" s="240"/>
      <c r="D1" s="240"/>
      <c r="E1" s="240"/>
      <c r="F1" s="240"/>
      <c r="G1" s="240"/>
      <c r="H1" s="240"/>
      <c r="I1" s="240"/>
      <c r="J1" s="240"/>
      <c r="K1" s="240"/>
      <c r="L1" s="240"/>
      <c r="M1" s="240"/>
      <c r="N1" s="240"/>
      <c r="O1" s="240"/>
      <c r="P1" s="240"/>
      <c r="Q1" s="240"/>
    </row>
    <row r="2" spans="1:17" ht="13.15" customHeight="1">
      <c r="A2" s="118"/>
      <c r="B2" s="118"/>
      <c r="C2" s="118"/>
      <c r="D2" s="118"/>
      <c r="E2" s="118"/>
      <c r="F2" s="118"/>
      <c r="G2" s="118"/>
      <c r="H2" s="118"/>
      <c r="I2" s="118"/>
      <c r="J2" s="118"/>
      <c r="K2" s="118"/>
      <c r="L2" s="118"/>
      <c r="M2" s="118"/>
      <c r="N2" s="118"/>
      <c r="O2" s="118"/>
      <c r="P2" s="118"/>
      <c r="Q2" s="118"/>
    </row>
    <row r="3" spans="1:17" ht="13.15" customHeight="1">
      <c r="A3" s="119"/>
      <c r="B3" s="241" t="s">
        <v>306</v>
      </c>
      <c r="C3" s="241"/>
      <c r="D3" s="241"/>
      <c r="E3" s="241"/>
      <c r="F3" s="241"/>
      <c r="G3" s="241"/>
      <c r="H3" s="241"/>
      <c r="I3" s="241"/>
      <c r="J3" s="241"/>
      <c r="K3" s="241"/>
      <c r="L3" s="241"/>
      <c r="M3" s="241"/>
      <c r="N3" s="241"/>
      <c r="O3" s="241"/>
      <c r="P3" s="241"/>
      <c r="Q3" s="241"/>
    </row>
    <row r="4" spans="1:17" ht="13.15" customHeight="1">
      <c r="A4" s="11" t="s">
        <v>19</v>
      </c>
      <c r="B4" s="11" t="s">
        <v>471</v>
      </c>
      <c r="C4" s="11" t="s">
        <v>472</v>
      </c>
      <c r="D4" s="11" t="s">
        <v>473</v>
      </c>
      <c r="E4" s="11" t="s">
        <v>474</v>
      </c>
      <c r="F4" s="11" t="s">
        <v>475</v>
      </c>
      <c r="G4" s="11" t="s">
        <v>476</v>
      </c>
      <c r="H4" s="11" t="s">
        <v>477</v>
      </c>
      <c r="I4" s="11" t="s">
        <v>478</v>
      </c>
      <c r="J4" s="11" t="s">
        <v>479</v>
      </c>
      <c r="K4" s="11" t="s">
        <v>480</v>
      </c>
      <c r="L4" s="11" t="s">
        <v>481</v>
      </c>
      <c r="M4" s="11" t="s">
        <v>482</v>
      </c>
      <c r="N4" s="11" t="s">
        <v>483</v>
      </c>
      <c r="O4" s="11" t="s">
        <v>484</v>
      </c>
      <c r="P4" s="11" t="s">
        <v>485</v>
      </c>
      <c r="Q4" s="11" t="s">
        <v>486</v>
      </c>
    </row>
    <row r="5" spans="1:17" s="205" customFormat="1" ht="13.15" customHeight="1">
      <c r="A5" s="12">
        <f t="shared" ref="A5:A28" si="0">+A6-1</f>
        <v>1995</v>
      </c>
      <c r="B5" s="364" t="s">
        <v>34</v>
      </c>
      <c r="C5" s="364" t="s">
        <v>34</v>
      </c>
      <c r="D5" s="364" t="s">
        <v>34</v>
      </c>
      <c r="E5" s="364" t="s">
        <v>34</v>
      </c>
      <c r="F5" s="364" t="s">
        <v>34</v>
      </c>
      <c r="G5" s="364" t="s">
        <v>34</v>
      </c>
      <c r="H5" s="364" t="s">
        <v>34</v>
      </c>
      <c r="I5" s="364" t="s">
        <v>34</v>
      </c>
      <c r="J5" s="364" t="s">
        <v>34</v>
      </c>
      <c r="K5" s="364" t="s">
        <v>34</v>
      </c>
      <c r="L5" s="364" t="s">
        <v>34</v>
      </c>
      <c r="M5" s="364">
        <v>1.0229999999999999</v>
      </c>
      <c r="N5" s="364">
        <v>1.028</v>
      </c>
      <c r="O5" s="364">
        <v>1.016</v>
      </c>
      <c r="P5" s="364">
        <v>1.0049999999999999</v>
      </c>
      <c r="Q5" s="364">
        <v>1.0089999999999999</v>
      </c>
    </row>
    <row r="6" spans="1:17" ht="13.15" customHeight="1">
      <c r="A6" s="12">
        <f t="shared" si="0"/>
        <v>1996</v>
      </c>
      <c r="B6" s="364" t="s">
        <v>34</v>
      </c>
      <c r="C6" s="364" t="s">
        <v>34</v>
      </c>
      <c r="D6" s="364" t="s">
        <v>34</v>
      </c>
      <c r="E6" s="364" t="s">
        <v>34</v>
      </c>
      <c r="F6" s="364" t="s">
        <v>34</v>
      </c>
      <c r="G6" s="364" t="s">
        <v>34</v>
      </c>
      <c r="H6" s="364" t="s">
        <v>34</v>
      </c>
      <c r="I6" s="364" t="s">
        <v>34</v>
      </c>
      <c r="J6" s="364" t="s">
        <v>34</v>
      </c>
      <c r="K6" s="364" t="s">
        <v>34</v>
      </c>
      <c r="L6" s="364">
        <v>1.014</v>
      </c>
      <c r="M6" s="364">
        <v>1.024</v>
      </c>
      <c r="N6" s="364">
        <v>1.018</v>
      </c>
      <c r="O6" s="364">
        <v>1.0129999999999999</v>
      </c>
      <c r="P6" s="364">
        <v>1.014</v>
      </c>
      <c r="Q6" s="364">
        <v>1.0049999999999999</v>
      </c>
    </row>
    <row r="7" spans="1:17" ht="13.15" customHeight="1">
      <c r="A7" s="12">
        <f t="shared" si="0"/>
        <v>1997</v>
      </c>
      <c r="B7" s="364" t="s">
        <v>34</v>
      </c>
      <c r="C7" s="364" t="s">
        <v>34</v>
      </c>
      <c r="D7" s="364" t="s">
        <v>34</v>
      </c>
      <c r="E7" s="364" t="s">
        <v>34</v>
      </c>
      <c r="F7" s="364" t="s">
        <v>34</v>
      </c>
      <c r="G7" s="364" t="s">
        <v>34</v>
      </c>
      <c r="H7" s="364" t="s">
        <v>34</v>
      </c>
      <c r="I7" s="364" t="s">
        <v>34</v>
      </c>
      <c r="J7" s="364" t="s">
        <v>34</v>
      </c>
      <c r="K7" s="364">
        <v>1.0229999999999999</v>
      </c>
      <c r="L7" s="364">
        <v>1.03</v>
      </c>
      <c r="M7" s="364">
        <v>1.012</v>
      </c>
      <c r="N7" s="364">
        <v>1.0149999999999999</v>
      </c>
      <c r="O7" s="364">
        <v>1.012</v>
      </c>
      <c r="P7" s="364">
        <v>1.0029999999999999</v>
      </c>
      <c r="Q7" s="364">
        <v>1.0069999999999999</v>
      </c>
    </row>
    <row r="8" spans="1:17" ht="13.15" customHeight="1">
      <c r="A8" s="12">
        <f t="shared" si="0"/>
        <v>1998</v>
      </c>
      <c r="B8" s="364" t="s">
        <v>34</v>
      </c>
      <c r="C8" s="364" t="s">
        <v>34</v>
      </c>
      <c r="D8" s="364" t="s">
        <v>34</v>
      </c>
      <c r="E8" s="364" t="s">
        <v>34</v>
      </c>
      <c r="F8" s="364" t="s">
        <v>34</v>
      </c>
      <c r="G8" s="364" t="s">
        <v>34</v>
      </c>
      <c r="H8" s="364" t="s">
        <v>34</v>
      </c>
      <c r="I8" s="364" t="s">
        <v>34</v>
      </c>
      <c r="J8" s="364">
        <v>1.038</v>
      </c>
      <c r="K8" s="364">
        <v>1.0229999999999999</v>
      </c>
      <c r="L8" s="364">
        <v>1.02</v>
      </c>
      <c r="M8" s="364">
        <v>1.0169999999999999</v>
      </c>
      <c r="N8" s="364">
        <v>1.004</v>
      </c>
      <c r="O8" s="364">
        <v>1.014</v>
      </c>
      <c r="P8" s="364">
        <v>1.008</v>
      </c>
      <c r="Q8" s="364">
        <v>1.012</v>
      </c>
    </row>
    <row r="9" spans="1:17" ht="13.15" customHeight="1">
      <c r="A9" s="12">
        <f t="shared" si="0"/>
        <v>1999</v>
      </c>
      <c r="B9" s="364" t="s">
        <v>34</v>
      </c>
      <c r="C9" s="364" t="s">
        <v>34</v>
      </c>
      <c r="D9" s="364" t="s">
        <v>34</v>
      </c>
      <c r="E9" s="364" t="s">
        <v>34</v>
      </c>
      <c r="F9" s="364" t="s">
        <v>34</v>
      </c>
      <c r="G9" s="364" t="s">
        <v>34</v>
      </c>
      <c r="H9" s="364" t="s">
        <v>34</v>
      </c>
      <c r="I9" s="364">
        <v>1.038</v>
      </c>
      <c r="J9" s="364">
        <v>1.03</v>
      </c>
      <c r="K9" s="364">
        <v>1.0189999999999999</v>
      </c>
      <c r="L9" s="364">
        <v>1.018</v>
      </c>
      <c r="M9" s="364">
        <v>1.0129999999999999</v>
      </c>
      <c r="N9" s="364">
        <v>1.0109999999999999</v>
      </c>
      <c r="O9" s="364">
        <v>1.0129999999999999</v>
      </c>
      <c r="P9" s="364">
        <v>1.0049999999999999</v>
      </c>
      <c r="Q9" s="364">
        <v>0.999</v>
      </c>
    </row>
    <row r="10" spans="1:17" ht="13.15" customHeight="1">
      <c r="A10" s="12">
        <f t="shared" si="0"/>
        <v>2000</v>
      </c>
      <c r="B10" s="364" t="s">
        <v>34</v>
      </c>
      <c r="C10" s="364" t="s">
        <v>34</v>
      </c>
      <c r="D10" s="364" t="s">
        <v>34</v>
      </c>
      <c r="E10" s="364" t="s">
        <v>34</v>
      </c>
      <c r="F10" s="364" t="s">
        <v>34</v>
      </c>
      <c r="G10" s="364" t="s">
        <v>34</v>
      </c>
      <c r="H10" s="364">
        <v>1.044</v>
      </c>
      <c r="I10" s="364">
        <v>1.028</v>
      </c>
      <c r="J10" s="364">
        <v>1.0169999999999999</v>
      </c>
      <c r="K10" s="364">
        <v>1.024</v>
      </c>
      <c r="L10" s="364">
        <v>1.018</v>
      </c>
      <c r="M10" s="364">
        <v>1.018</v>
      </c>
      <c r="N10" s="364">
        <v>1.012</v>
      </c>
      <c r="O10" s="364">
        <v>1.006</v>
      </c>
      <c r="P10" s="364">
        <v>0.999</v>
      </c>
      <c r="Q10" s="364">
        <v>0.995</v>
      </c>
    </row>
    <row r="11" spans="1:17" ht="13.15" customHeight="1">
      <c r="A11" s="12">
        <f t="shared" si="0"/>
        <v>2001</v>
      </c>
      <c r="B11" s="364" t="s">
        <v>34</v>
      </c>
      <c r="C11" s="364" t="s">
        <v>34</v>
      </c>
      <c r="D11" s="364" t="s">
        <v>34</v>
      </c>
      <c r="E11" s="364" t="s">
        <v>34</v>
      </c>
      <c r="F11" s="364" t="s">
        <v>34</v>
      </c>
      <c r="G11" s="364">
        <v>1.0449999999999999</v>
      </c>
      <c r="H11" s="364">
        <v>1.04</v>
      </c>
      <c r="I11" s="364">
        <v>1.034</v>
      </c>
      <c r="J11" s="364">
        <v>1.0349999999999999</v>
      </c>
      <c r="K11" s="364">
        <v>1.022</v>
      </c>
      <c r="L11" s="364">
        <v>1.0169999999999999</v>
      </c>
      <c r="M11" s="364">
        <v>1.0149999999999999</v>
      </c>
      <c r="N11" s="364">
        <v>1.0129999999999999</v>
      </c>
      <c r="O11" s="364">
        <v>1.0009999999999999</v>
      </c>
      <c r="P11" s="364">
        <v>0.997</v>
      </c>
      <c r="Q11" s="364">
        <v>0.99399999999999999</v>
      </c>
    </row>
    <row r="12" spans="1:17" ht="13.15" customHeight="1">
      <c r="A12" s="12">
        <f t="shared" si="0"/>
        <v>2002</v>
      </c>
      <c r="B12" s="364" t="s">
        <v>34</v>
      </c>
      <c r="C12" s="364" t="s">
        <v>34</v>
      </c>
      <c r="D12" s="364" t="s">
        <v>34</v>
      </c>
      <c r="E12" s="364" t="s">
        <v>34</v>
      </c>
      <c r="F12" s="364">
        <v>1.056</v>
      </c>
      <c r="G12" s="364">
        <v>1.04</v>
      </c>
      <c r="H12" s="364">
        <v>1.036</v>
      </c>
      <c r="I12" s="364">
        <v>1.0289999999999999</v>
      </c>
      <c r="J12" s="364">
        <v>1.028</v>
      </c>
      <c r="K12" s="364">
        <v>1.022</v>
      </c>
      <c r="L12" s="364">
        <v>1.014</v>
      </c>
      <c r="M12" s="364">
        <v>1.01</v>
      </c>
      <c r="N12" s="364">
        <v>0.999</v>
      </c>
      <c r="O12" s="364">
        <v>0.997</v>
      </c>
      <c r="P12" s="364">
        <v>1</v>
      </c>
      <c r="Q12" s="364">
        <v>0.999</v>
      </c>
    </row>
    <row r="13" spans="1:17" ht="13.15" customHeight="1">
      <c r="A13" s="12">
        <f t="shared" si="0"/>
        <v>2003</v>
      </c>
      <c r="B13" s="364" t="s">
        <v>34</v>
      </c>
      <c r="C13" s="364" t="s">
        <v>34</v>
      </c>
      <c r="D13" s="364" t="s">
        <v>34</v>
      </c>
      <c r="E13" s="364">
        <v>1.0589999999999999</v>
      </c>
      <c r="F13" s="364">
        <v>1.06</v>
      </c>
      <c r="G13" s="364">
        <v>1.042</v>
      </c>
      <c r="H13" s="364">
        <v>1.042</v>
      </c>
      <c r="I13" s="364">
        <v>1.0369999999999999</v>
      </c>
      <c r="J13" s="364">
        <v>1.0289999999999999</v>
      </c>
      <c r="K13" s="364">
        <v>1.018</v>
      </c>
      <c r="L13" s="364">
        <v>1.0109999999999999</v>
      </c>
      <c r="M13" s="364">
        <v>1.0029999999999999</v>
      </c>
      <c r="N13" s="364">
        <v>0.998</v>
      </c>
      <c r="O13" s="364">
        <v>0.999</v>
      </c>
      <c r="P13" s="364">
        <v>1.0009999999999999</v>
      </c>
      <c r="Q13" s="364">
        <v>1.006</v>
      </c>
    </row>
    <row r="14" spans="1:17" ht="13.15" customHeight="1">
      <c r="A14" s="12">
        <f t="shared" si="0"/>
        <v>2004</v>
      </c>
      <c r="B14" s="364" t="s">
        <v>34</v>
      </c>
      <c r="C14" s="364" t="s">
        <v>34</v>
      </c>
      <c r="D14" s="364">
        <v>1.113</v>
      </c>
      <c r="E14" s="364">
        <v>1.081</v>
      </c>
      <c r="F14" s="364">
        <v>1.06</v>
      </c>
      <c r="G14" s="364">
        <v>1.0609999999999999</v>
      </c>
      <c r="H14" s="364">
        <v>1.0429999999999999</v>
      </c>
      <c r="I14" s="364">
        <v>1.032</v>
      </c>
      <c r="J14" s="364">
        <v>1.026</v>
      </c>
      <c r="K14" s="364">
        <v>1.012</v>
      </c>
      <c r="L14" s="364">
        <v>1.006</v>
      </c>
      <c r="M14" s="364">
        <v>1.0009999999999999</v>
      </c>
      <c r="N14" s="364">
        <v>0.996</v>
      </c>
      <c r="O14" s="364">
        <v>0.998</v>
      </c>
      <c r="P14" s="364">
        <v>1.002</v>
      </c>
      <c r="Q14" s="364">
        <v>1</v>
      </c>
    </row>
    <row r="15" spans="1:17" ht="13.15" customHeight="1">
      <c r="A15" s="12">
        <f t="shared" si="0"/>
        <v>2005</v>
      </c>
      <c r="B15" s="364" t="s">
        <v>34</v>
      </c>
      <c r="C15" s="364">
        <v>1.1719999999999999</v>
      </c>
      <c r="D15" s="364">
        <v>1.087</v>
      </c>
      <c r="E15" s="364">
        <v>1.0740000000000001</v>
      </c>
      <c r="F15" s="364">
        <v>1.0840000000000001</v>
      </c>
      <c r="G15" s="364">
        <v>1.0549999999999999</v>
      </c>
      <c r="H15" s="364">
        <v>1.0449999999999999</v>
      </c>
      <c r="I15" s="364">
        <v>1.032</v>
      </c>
      <c r="J15" s="364">
        <v>1.02</v>
      </c>
      <c r="K15" s="364">
        <v>1.006</v>
      </c>
      <c r="L15" s="364">
        <v>1.006</v>
      </c>
      <c r="M15" s="364">
        <v>0.999</v>
      </c>
      <c r="N15" s="364">
        <v>1</v>
      </c>
      <c r="O15" s="364">
        <v>1</v>
      </c>
      <c r="P15" s="364">
        <v>1</v>
      </c>
      <c r="Q15" s="364" t="s">
        <v>34</v>
      </c>
    </row>
    <row r="16" spans="1:17" ht="13.15" customHeight="1">
      <c r="A16" s="12">
        <f t="shared" si="0"/>
        <v>2006</v>
      </c>
      <c r="B16" s="364">
        <v>1.46</v>
      </c>
      <c r="C16" s="364">
        <v>1.196</v>
      </c>
      <c r="D16" s="364">
        <v>1.103</v>
      </c>
      <c r="E16" s="364">
        <v>1.081</v>
      </c>
      <c r="F16" s="364">
        <v>1.0660000000000001</v>
      </c>
      <c r="G16" s="364">
        <v>1.048</v>
      </c>
      <c r="H16" s="364">
        <v>1.04</v>
      </c>
      <c r="I16" s="364">
        <v>1.022</v>
      </c>
      <c r="J16" s="364">
        <v>1.012</v>
      </c>
      <c r="K16" s="364">
        <v>1</v>
      </c>
      <c r="L16" s="364">
        <v>1.0009999999999999</v>
      </c>
      <c r="M16" s="364">
        <v>1.006</v>
      </c>
      <c r="N16" s="364">
        <v>0.999</v>
      </c>
      <c r="O16" s="364">
        <v>1.0029999999999999</v>
      </c>
      <c r="P16" s="364" t="s">
        <v>34</v>
      </c>
      <c r="Q16" s="364" t="s">
        <v>34</v>
      </c>
    </row>
    <row r="17" spans="1:17" ht="13.15" customHeight="1">
      <c r="A17" s="12">
        <f t="shared" si="0"/>
        <v>2007</v>
      </c>
      <c r="B17" s="364">
        <v>1.518</v>
      </c>
      <c r="C17" s="364">
        <v>1.204</v>
      </c>
      <c r="D17" s="364">
        <v>1.1240000000000001</v>
      </c>
      <c r="E17" s="364">
        <v>1.081</v>
      </c>
      <c r="F17" s="364">
        <v>1.07</v>
      </c>
      <c r="G17" s="364">
        <v>1.05</v>
      </c>
      <c r="H17" s="364">
        <v>1.032</v>
      </c>
      <c r="I17" s="364">
        <v>1.018</v>
      </c>
      <c r="J17" s="364">
        <v>1.004</v>
      </c>
      <c r="K17" s="364">
        <v>1.008</v>
      </c>
      <c r="L17" s="364">
        <v>1.0009999999999999</v>
      </c>
      <c r="M17" s="364">
        <v>1.004</v>
      </c>
      <c r="N17" s="364">
        <v>0.996</v>
      </c>
      <c r="O17" s="364" t="s">
        <v>34</v>
      </c>
      <c r="P17" s="364" t="s">
        <v>34</v>
      </c>
      <c r="Q17" s="364" t="s">
        <v>34</v>
      </c>
    </row>
    <row r="18" spans="1:17" ht="13.15" customHeight="1">
      <c r="A18" s="12">
        <f t="shared" si="0"/>
        <v>2008</v>
      </c>
      <c r="B18" s="364">
        <v>1.5269999999999999</v>
      </c>
      <c r="C18" s="364">
        <v>1.212</v>
      </c>
      <c r="D18" s="364">
        <v>1.129</v>
      </c>
      <c r="E18" s="364">
        <v>1.0920000000000001</v>
      </c>
      <c r="F18" s="364">
        <v>1.0609999999999999</v>
      </c>
      <c r="G18" s="364">
        <v>1.0409999999999999</v>
      </c>
      <c r="H18" s="364">
        <v>1.026</v>
      </c>
      <c r="I18" s="364">
        <v>1.01</v>
      </c>
      <c r="J18" s="364">
        <v>1.0049999999999999</v>
      </c>
      <c r="K18" s="364">
        <v>1.002</v>
      </c>
      <c r="L18" s="364">
        <v>1.0049999999999999</v>
      </c>
      <c r="M18" s="364">
        <v>0.999</v>
      </c>
      <c r="N18" s="364" t="s">
        <v>34</v>
      </c>
      <c r="O18" s="364" t="s">
        <v>34</v>
      </c>
      <c r="P18" s="364" t="s">
        <v>34</v>
      </c>
      <c r="Q18" s="364" t="s">
        <v>34</v>
      </c>
    </row>
    <row r="19" spans="1:17" ht="13.15" customHeight="1">
      <c r="A19" s="12">
        <f t="shared" si="0"/>
        <v>2009</v>
      </c>
      <c r="B19" s="364">
        <v>1.6040000000000001</v>
      </c>
      <c r="C19" s="364">
        <v>1.2270000000000001</v>
      </c>
      <c r="D19" s="364">
        <v>1.1399999999999999</v>
      </c>
      <c r="E19" s="364">
        <v>1.087</v>
      </c>
      <c r="F19" s="364">
        <v>1.0609999999999999</v>
      </c>
      <c r="G19" s="364">
        <v>1.03</v>
      </c>
      <c r="H19" s="364">
        <v>1.016</v>
      </c>
      <c r="I19" s="364">
        <v>1.0069999999999999</v>
      </c>
      <c r="J19" s="364">
        <v>1.006</v>
      </c>
      <c r="K19" s="364">
        <v>1.008</v>
      </c>
      <c r="L19" s="364">
        <v>1.0009999999999999</v>
      </c>
      <c r="M19" s="364" t="s">
        <v>34</v>
      </c>
      <c r="N19" s="364" t="s">
        <v>34</v>
      </c>
      <c r="O19" s="364" t="s">
        <v>34</v>
      </c>
      <c r="P19" s="364" t="s">
        <v>34</v>
      </c>
      <c r="Q19" s="364" t="s">
        <v>34</v>
      </c>
    </row>
    <row r="20" spans="1:17" ht="13.15" customHeight="1">
      <c r="A20" s="12">
        <f t="shared" si="0"/>
        <v>2010</v>
      </c>
      <c r="B20" s="364">
        <v>1.62</v>
      </c>
      <c r="C20" s="364">
        <v>1.2450000000000001</v>
      </c>
      <c r="D20" s="364">
        <v>1.1339999999999999</v>
      </c>
      <c r="E20" s="364">
        <v>1.077</v>
      </c>
      <c r="F20" s="364">
        <v>1.0449999999999999</v>
      </c>
      <c r="G20" s="364">
        <v>1.0249999999999999</v>
      </c>
      <c r="H20" s="364">
        <v>1.012</v>
      </c>
      <c r="I20" s="364">
        <v>1.008</v>
      </c>
      <c r="J20" s="364">
        <v>1.01</v>
      </c>
      <c r="K20" s="364">
        <v>1.0049999999999999</v>
      </c>
      <c r="L20" s="364" t="s">
        <v>34</v>
      </c>
      <c r="M20" s="364" t="s">
        <v>34</v>
      </c>
      <c r="N20" s="364" t="s">
        <v>34</v>
      </c>
      <c r="O20" s="364" t="s">
        <v>34</v>
      </c>
      <c r="P20" s="364" t="s">
        <v>34</v>
      </c>
      <c r="Q20" s="364" t="s">
        <v>34</v>
      </c>
    </row>
    <row r="21" spans="1:17" ht="13.15" customHeight="1">
      <c r="A21" s="12">
        <f t="shared" si="0"/>
        <v>2011</v>
      </c>
      <c r="B21" s="364">
        <v>1.667</v>
      </c>
      <c r="C21" s="364">
        <v>1.222</v>
      </c>
      <c r="D21" s="364">
        <v>1.125</v>
      </c>
      <c r="E21" s="364">
        <v>1.069</v>
      </c>
      <c r="F21" s="364">
        <v>1.034</v>
      </c>
      <c r="G21" s="364">
        <v>1.016</v>
      </c>
      <c r="H21" s="364">
        <v>1.01</v>
      </c>
      <c r="I21" s="364">
        <v>1.01</v>
      </c>
      <c r="J21" s="364">
        <v>1.002</v>
      </c>
      <c r="K21" s="364" t="s">
        <v>34</v>
      </c>
      <c r="L21" s="364" t="s">
        <v>34</v>
      </c>
      <c r="M21" s="364" t="s">
        <v>34</v>
      </c>
      <c r="N21" s="364" t="s">
        <v>34</v>
      </c>
      <c r="O21" s="364" t="s">
        <v>34</v>
      </c>
      <c r="P21" s="364" t="s">
        <v>34</v>
      </c>
      <c r="Q21" s="364" t="s">
        <v>34</v>
      </c>
    </row>
    <row r="22" spans="1:17" ht="13.15" customHeight="1">
      <c r="A22" s="12">
        <f t="shared" si="0"/>
        <v>2012</v>
      </c>
      <c r="B22" s="364">
        <v>1.5920000000000001</v>
      </c>
      <c r="C22" s="364">
        <v>1.1879999999999999</v>
      </c>
      <c r="D22" s="364">
        <v>1.0920000000000001</v>
      </c>
      <c r="E22" s="364">
        <v>1.056</v>
      </c>
      <c r="F22" s="364">
        <v>1.0309999999999999</v>
      </c>
      <c r="G22" s="364">
        <v>1.0149999999999999</v>
      </c>
      <c r="H22" s="364">
        <v>1.0149999999999999</v>
      </c>
      <c r="I22" s="364">
        <v>1.006</v>
      </c>
      <c r="J22" s="364" t="s">
        <v>34</v>
      </c>
      <c r="K22" s="364" t="s">
        <v>34</v>
      </c>
      <c r="L22" s="364" t="s">
        <v>34</v>
      </c>
      <c r="M22" s="364" t="s">
        <v>34</v>
      </c>
      <c r="N22" s="364" t="s">
        <v>34</v>
      </c>
      <c r="O22" s="364" t="s">
        <v>34</v>
      </c>
      <c r="P22" s="364" t="s">
        <v>34</v>
      </c>
      <c r="Q22" s="364" t="s">
        <v>34</v>
      </c>
    </row>
    <row r="23" spans="1:17" ht="13.15" customHeight="1">
      <c r="A23" s="12">
        <f t="shared" si="0"/>
        <v>2013</v>
      </c>
      <c r="B23" s="364">
        <v>1.5589999999999999</v>
      </c>
      <c r="C23" s="364">
        <v>1.1499999999999999</v>
      </c>
      <c r="D23" s="364">
        <v>1.0860000000000001</v>
      </c>
      <c r="E23" s="364">
        <v>1.0389999999999999</v>
      </c>
      <c r="F23" s="364">
        <v>1.022</v>
      </c>
      <c r="G23" s="364">
        <v>1.014</v>
      </c>
      <c r="H23" s="364">
        <v>1.006</v>
      </c>
      <c r="I23" s="364" t="s">
        <v>34</v>
      </c>
      <c r="J23" s="364" t="s">
        <v>34</v>
      </c>
      <c r="K23" s="364" t="s">
        <v>34</v>
      </c>
      <c r="L23" s="364" t="s">
        <v>34</v>
      </c>
      <c r="M23" s="364" t="s">
        <v>34</v>
      </c>
      <c r="N23" s="364" t="s">
        <v>34</v>
      </c>
      <c r="O23" s="364" t="s">
        <v>34</v>
      </c>
      <c r="P23" s="364" t="s">
        <v>34</v>
      </c>
      <c r="Q23" s="364" t="s">
        <v>34</v>
      </c>
    </row>
    <row r="24" spans="1:17" ht="13.15" customHeight="1">
      <c r="A24" s="12">
        <f t="shared" si="0"/>
        <v>2014</v>
      </c>
      <c r="B24" s="364">
        <v>1.5229999999999999</v>
      </c>
      <c r="C24" s="364">
        <v>1.159</v>
      </c>
      <c r="D24" s="364">
        <v>1.079</v>
      </c>
      <c r="E24" s="364">
        <v>1.0349999999999999</v>
      </c>
      <c r="F24" s="364">
        <v>1.0269999999999999</v>
      </c>
      <c r="G24" s="364">
        <v>1.0109999999999999</v>
      </c>
      <c r="H24" s="364" t="s">
        <v>34</v>
      </c>
      <c r="I24" s="364" t="s">
        <v>34</v>
      </c>
      <c r="J24" s="364" t="s">
        <v>34</v>
      </c>
      <c r="K24" s="364" t="s">
        <v>34</v>
      </c>
      <c r="L24" s="364" t="s">
        <v>34</v>
      </c>
      <c r="M24" s="364" t="s">
        <v>34</v>
      </c>
      <c r="N24" s="364" t="s">
        <v>34</v>
      </c>
      <c r="O24" s="364" t="s">
        <v>34</v>
      </c>
      <c r="P24" s="364" t="s">
        <v>34</v>
      </c>
      <c r="Q24" s="364" t="s">
        <v>34</v>
      </c>
    </row>
    <row r="25" spans="1:17" ht="13.15" customHeight="1">
      <c r="A25" s="12">
        <f t="shared" si="0"/>
        <v>2015</v>
      </c>
      <c r="B25" s="364">
        <v>1.5109999999999999</v>
      </c>
      <c r="C25" s="364">
        <v>1.1459999999999999</v>
      </c>
      <c r="D25" s="364">
        <v>1.0640000000000001</v>
      </c>
      <c r="E25" s="364">
        <v>1.03</v>
      </c>
      <c r="F25" s="364">
        <v>1.018</v>
      </c>
      <c r="G25" s="364" t="s">
        <v>34</v>
      </c>
      <c r="H25" s="364" t="s">
        <v>34</v>
      </c>
      <c r="I25" s="364" t="s">
        <v>34</v>
      </c>
      <c r="J25" s="364" t="s">
        <v>34</v>
      </c>
      <c r="K25" s="364" t="s">
        <v>34</v>
      </c>
      <c r="L25" s="364" t="s">
        <v>34</v>
      </c>
      <c r="M25" s="364" t="s">
        <v>34</v>
      </c>
      <c r="N25" s="364" t="s">
        <v>34</v>
      </c>
      <c r="O25" s="364" t="s">
        <v>34</v>
      </c>
      <c r="P25" s="364" t="s">
        <v>34</v>
      </c>
      <c r="Q25" s="364" t="s">
        <v>34</v>
      </c>
    </row>
    <row r="26" spans="1:17" ht="13.15" customHeight="1">
      <c r="A26" s="12">
        <f t="shared" si="0"/>
        <v>2016</v>
      </c>
      <c r="B26" s="364">
        <v>1.498</v>
      </c>
      <c r="C26" s="364">
        <v>1.1240000000000001</v>
      </c>
      <c r="D26" s="364">
        <v>1.0449999999999999</v>
      </c>
      <c r="E26" s="364">
        <v>1.0309999999999999</v>
      </c>
      <c r="F26" s="364" t="s">
        <v>34</v>
      </c>
      <c r="G26" s="364" t="s">
        <v>34</v>
      </c>
      <c r="H26" s="364" t="s">
        <v>34</v>
      </c>
      <c r="I26" s="364" t="s">
        <v>34</v>
      </c>
      <c r="J26" s="364" t="s">
        <v>34</v>
      </c>
      <c r="K26" s="364" t="s">
        <v>34</v>
      </c>
      <c r="L26" s="364" t="s">
        <v>34</v>
      </c>
      <c r="M26" s="364" t="s">
        <v>34</v>
      </c>
      <c r="N26" s="364" t="s">
        <v>34</v>
      </c>
      <c r="O26" s="364" t="s">
        <v>34</v>
      </c>
      <c r="P26" s="364" t="s">
        <v>34</v>
      </c>
      <c r="Q26" s="364" t="s">
        <v>34</v>
      </c>
    </row>
    <row r="27" spans="1:17" ht="13.15" customHeight="1">
      <c r="A27" s="12">
        <f t="shared" si="0"/>
        <v>2017</v>
      </c>
      <c r="B27" s="364">
        <v>1.44</v>
      </c>
      <c r="C27" s="364">
        <v>1.117</v>
      </c>
      <c r="D27" s="364">
        <v>1.0509999999999999</v>
      </c>
      <c r="E27" s="364" t="s">
        <v>34</v>
      </c>
      <c r="F27" s="364" t="s">
        <v>34</v>
      </c>
      <c r="G27" s="364" t="s">
        <v>34</v>
      </c>
      <c r="H27" s="364" t="s">
        <v>34</v>
      </c>
      <c r="I27" s="364" t="s">
        <v>34</v>
      </c>
      <c r="J27" s="364" t="s">
        <v>34</v>
      </c>
      <c r="K27" s="364" t="s">
        <v>34</v>
      </c>
      <c r="L27" s="364" t="s">
        <v>34</v>
      </c>
      <c r="M27" s="364" t="s">
        <v>34</v>
      </c>
      <c r="N27" s="364" t="s">
        <v>34</v>
      </c>
      <c r="O27" s="364" t="s">
        <v>34</v>
      </c>
      <c r="P27" s="364" t="s">
        <v>34</v>
      </c>
      <c r="Q27" s="364" t="s">
        <v>34</v>
      </c>
    </row>
    <row r="28" spans="1:17" ht="13.15" customHeight="1">
      <c r="A28" s="12">
        <f t="shared" si="0"/>
        <v>2018</v>
      </c>
      <c r="B28" s="364">
        <v>1.4490000000000001</v>
      </c>
      <c r="C28" s="364">
        <v>1.1100000000000001</v>
      </c>
      <c r="D28" s="364" t="s">
        <v>34</v>
      </c>
      <c r="E28" s="364" t="s">
        <v>34</v>
      </c>
      <c r="F28" s="364" t="s">
        <v>34</v>
      </c>
      <c r="G28" s="364" t="s">
        <v>34</v>
      </c>
      <c r="H28" s="364" t="s">
        <v>34</v>
      </c>
      <c r="I28" s="364" t="s">
        <v>34</v>
      </c>
      <c r="J28" s="364" t="s">
        <v>34</v>
      </c>
      <c r="K28" s="364" t="s">
        <v>34</v>
      </c>
      <c r="L28" s="364" t="s">
        <v>34</v>
      </c>
      <c r="M28" s="364" t="s">
        <v>34</v>
      </c>
      <c r="N28" s="364" t="s">
        <v>34</v>
      </c>
      <c r="O28" s="364" t="s">
        <v>34</v>
      </c>
      <c r="P28" s="364" t="s">
        <v>34</v>
      </c>
      <c r="Q28" s="364" t="s">
        <v>34</v>
      </c>
    </row>
    <row r="29" spans="1:17" ht="13.15" customHeight="1">
      <c r="A29" s="12">
        <f>'Exhibit 2.1.1'!A29</f>
        <v>2019</v>
      </c>
      <c r="B29" s="364">
        <v>1.452</v>
      </c>
      <c r="C29" s="364" t="s">
        <v>34</v>
      </c>
      <c r="D29" s="364" t="s">
        <v>34</v>
      </c>
      <c r="E29" s="364" t="s">
        <v>34</v>
      </c>
      <c r="F29" s="364" t="s">
        <v>34</v>
      </c>
      <c r="G29" s="364" t="s">
        <v>34</v>
      </c>
      <c r="H29" s="364" t="s">
        <v>34</v>
      </c>
      <c r="I29" s="364" t="s">
        <v>34</v>
      </c>
      <c r="J29" s="364" t="s">
        <v>34</v>
      </c>
      <c r="K29" s="364" t="s">
        <v>34</v>
      </c>
      <c r="L29" s="364" t="s">
        <v>34</v>
      </c>
      <c r="M29" s="364" t="s">
        <v>34</v>
      </c>
      <c r="N29" s="364" t="s">
        <v>34</v>
      </c>
      <c r="O29" s="364" t="s">
        <v>34</v>
      </c>
      <c r="P29" s="364" t="s">
        <v>34</v>
      </c>
      <c r="Q29" s="364" t="s">
        <v>34</v>
      </c>
    </row>
    <row r="30" spans="1:17" ht="13.15" customHeight="1">
      <c r="A30" s="12"/>
      <c r="B30" s="13"/>
      <c r="C30" s="13"/>
      <c r="D30" s="13"/>
      <c r="E30" s="13"/>
      <c r="F30" s="13"/>
      <c r="G30" s="13"/>
      <c r="H30" s="13"/>
      <c r="I30" s="13"/>
      <c r="J30" s="13"/>
      <c r="K30" s="13"/>
      <c r="L30" s="13"/>
      <c r="M30" s="13"/>
      <c r="N30" s="13"/>
      <c r="O30" s="13"/>
      <c r="P30" s="13"/>
      <c r="Q30" s="13"/>
    </row>
    <row r="31" spans="1:17" ht="13.15" customHeight="1">
      <c r="A31" s="12" t="s">
        <v>20</v>
      </c>
      <c r="B31" s="376">
        <f>+ROUND(B29,3)</f>
        <v>1.452</v>
      </c>
      <c r="C31" s="376">
        <f>+ROUND(C28,3)</f>
        <v>1.1100000000000001</v>
      </c>
      <c r="D31" s="376">
        <f>ROUND(D27,3)</f>
        <v>1.0509999999999999</v>
      </c>
      <c r="E31" s="376">
        <f>ROUND(E26,3)</f>
        <v>1.0309999999999999</v>
      </c>
      <c r="F31" s="376">
        <f>ROUND(F25,3)</f>
        <v>1.018</v>
      </c>
      <c r="G31" s="376">
        <f>ROUND(G24,3)</f>
        <v>1.0109999999999999</v>
      </c>
      <c r="H31" s="376">
        <f>ROUND(H23,3)</f>
        <v>1.006</v>
      </c>
      <c r="I31" s="376">
        <f>ROUND(I22,3)</f>
        <v>1.006</v>
      </c>
      <c r="J31" s="376">
        <f>AVERAGE(J16:J21)</f>
        <v>1.0065</v>
      </c>
      <c r="K31" s="376">
        <f>AVERAGE(K15:K20)</f>
        <v>1.0048333333333332</v>
      </c>
      <c r="L31" s="376">
        <f>AVERAGE(L14:L19)</f>
        <v>1.0033333333333332</v>
      </c>
      <c r="M31" s="376">
        <f>AVERAGE(M13:M18)</f>
        <v>1.002</v>
      </c>
      <c r="N31" s="376">
        <f>AVERAGE(N12:N17)</f>
        <v>0.99799999999999989</v>
      </c>
      <c r="O31" s="376">
        <f>AVERAGE(O11:O16)</f>
        <v>0.9996666666666667</v>
      </c>
      <c r="P31" s="376">
        <f>AVERAGE(P10:P15)</f>
        <v>0.99983333333333324</v>
      </c>
      <c r="Q31" s="376">
        <f>AVERAGE(Q9:Q14)</f>
        <v>0.99883333333333335</v>
      </c>
    </row>
    <row r="32" spans="1:17" ht="13.15" customHeight="1">
      <c r="A32" s="12" t="s">
        <v>21</v>
      </c>
      <c r="B32" s="13">
        <f t="shared" ref="B32:O32" si="1">C32*B31</f>
        <v>1.8435608483685242</v>
      </c>
      <c r="C32" s="13">
        <f t="shared" si="1"/>
        <v>1.2696700057634465</v>
      </c>
      <c r="D32" s="13">
        <f t="shared" si="1"/>
        <v>1.1438468520391409</v>
      </c>
      <c r="E32" s="13">
        <f t="shared" si="1"/>
        <v>1.088341438667118</v>
      </c>
      <c r="F32" s="13">
        <f t="shared" si="1"/>
        <v>1.0556173022959439</v>
      </c>
      <c r="G32" s="13">
        <f t="shared" si="1"/>
        <v>1.0369521633555441</v>
      </c>
      <c r="H32" s="13">
        <f t="shared" si="1"/>
        <v>1.0256697956039014</v>
      </c>
      <c r="I32" s="13">
        <f t="shared" si="1"/>
        <v>1.0195524807195839</v>
      </c>
      <c r="J32" s="13">
        <f t="shared" si="1"/>
        <v>1.0134716508146957</v>
      </c>
      <c r="K32" s="13">
        <f t="shared" si="1"/>
        <v>1.006926627734422</v>
      </c>
      <c r="L32" s="13">
        <f t="shared" si="1"/>
        <v>1.0020832254779453</v>
      </c>
      <c r="M32" s="13">
        <f t="shared" si="1"/>
        <v>0.99875404532685597</v>
      </c>
      <c r="N32" s="13">
        <f t="shared" si="1"/>
        <v>0.99676052427829942</v>
      </c>
      <c r="O32" s="13">
        <f t="shared" si="1"/>
        <v>0.99875804035901761</v>
      </c>
      <c r="P32" s="13">
        <f>Q32*P31</f>
        <v>0.99909107071592285</v>
      </c>
      <c r="Q32" s="13">
        <f>'Exhibit 2.2.2'!B29*'Exhibit 2.2.1'!Q31</f>
        <v>0.99925761365153154</v>
      </c>
    </row>
    <row r="33" spans="1:16" ht="13.15" customHeight="1">
      <c r="A33" s="119"/>
      <c r="B33" s="119"/>
      <c r="C33" s="119"/>
      <c r="D33" s="119"/>
      <c r="E33" s="119"/>
      <c r="F33" s="119"/>
      <c r="G33" s="119"/>
      <c r="H33" s="119"/>
      <c r="I33" s="119"/>
      <c r="J33" s="119"/>
      <c r="K33" s="119"/>
      <c r="L33" s="119"/>
      <c r="M33" s="119"/>
      <c r="N33" s="119"/>
      <c r="O33" s="119"/>
      <c r="P33" s="119"/>
    </row>
    <row r="34" spans="1:16" ht="13.15" customHeight="1">
      <c r="A34" s="15" t="s">
        <v>22</v>
      </c>
      <c r="B34" s="152" t="s">
        <v>470</v>
      </c>
      <c r="C34" s="149"/>
      <c r="D34" s="149"/>
      <c r="E34" s="149"/>
      <c r="F34" s="149"/>
      <c r="G34" s="149"/>
      <c r="H34" s="149"/>
      <c r="I34" s="149"/>
      <c r="J34" s="149"/>
      <c r="K34" s="149"/>
      <c r="L34" s="149"/>
      <c r="M34" s="149"/>
      <c r="N34" s="149"/>
      <c r="O34" s="149"/>
      <c r="P34" s="149"/>
    </row>
    <row r="35" spans="1:16">
      <c r="A35" s="15" t="s">
        <v>28</v>
      </c>
      <c r="B35" s="150" t="s">
        <v>301</v>
      </c>
      <c r="C35" s="151"/>
      <c r="D35" s="151"/>
      <c r="E35" s="151"/>
      <c r="F35" s="151"/>
      <c r="G35" s="151"/>
      <c r="H35" s="151"/>
      <c r="I35" s="151"/>
      <c r="J35" s="151"/>
      <c r="K35" s="151"/>
      <c r="L35" s="151"/>
      <c r="M35" s="151"/>
      <c r="N35" s="151"/>
      <c r="O35" s="151"/>
      <c r="P35" s="151"/>
    </row>
  </sheetData>
  <pageMargins left="0.7" right="0.7" top="0.75" bottom="0.75" header="0.3" footer="0.3"/>
  <pageSetup scale="88" orientation="landscape" blackAndWhite="1" horizontalDpi="1200" verticalDpi="1200" r:id="rId1"/>
  <headerFooter scaleWithDoc="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pageSetUpPr fitToPage="1"/>
  </sheetPr>
  <dimension ref="A1:U31"/>
  <sheetViews>
    <sheetView zoomScaleNormal="100" workbookViewId="0"/>
  </sheetViews>
  <sheetFormatPr defaultColWidth="9.1796875" defaultRowHeight="12.5"/>
  <cols>
    <col min="1" max="1" width="13.1796875" style="108" customWidth="1"/>
    <col min="2" max="20" width="7.7265625" style="108" customWidth="1"/>
    <col min="21" max="21" width="13.1796875" style="110" bestFit="1" customWidth="1"/>
    <col min="22" max="16384" width="9.1796875" style="108"/>
  </cols>
  <sheetData>
    <row r="1" spans="1:21" ht="15" customHeight="1">
      <c r="A1" s="240" t="s">
        <v>29</v>
      </c>
      <c r="B1" s="240"/>
      <c r="C1" s="240"/>
      <c r="D1" s="240"/>
      <c r="E1" s="240"/>
      <c r="F1" s="240"/>
      <c r="G1" s="240"/>
      <c r="H1" s="240"/>
      <c r="I1" s="240"/>
      <c r="J1" s="240"/>
      <c r="K1" s="240"/>
      <c r="L1" s="240"/>
      <c r="M1" s="240"/>
      <c r="N1" s="240"/>
      <c r="O1" s="240"/>
      <c r="P1" s="240"/>
      <c r="Q1" s="240"/>
      <c r="R1" s="240"/>
      <c r="S1" s="240"/>
      <c r="T1" s="240"/>
      <c r="U1" s="166"/>
    </row>
    <row r="2" spans="1:21" ht="13">
      <c r="A2" s="217"/>
      <c r="B2" s="217"/>
      <c r="C2" s="217"/>
      <c r="D2" s="217"/>
      <c r="E2" s="217"/>
      <c r="F2" s="217"/>
      <c r="G2" s="217"/>
      <c r="H2" s="217"/>
      <c r="I2" s="217"/>
      <c r="J2" s="217"/>
      <c r="K2" s="217"/>
      <c r="L2" s="217"/>
      <c r="M2" s="217"/>
      <c r="N2" s="217"/>
      <c r="O2" s="217"/>
      <c r="P2" s="217"/>
      <c r="Q2" s="217"/>
      <c r="R2" s="217"/>
      <c r="S2" s="285"/>
      <c r="T2" s="285"/>
    </row>
    <row r="3" spans="1:21">
      <c r="A3" s="220"/>
      <c r="B3" s="242" t="s">
        <v>18</v>
      </c>
      <c r="C3" s="242"/>
      <c r="D3" s="242"/>
      <c r="E3" s="242"/>
      <c r="F3" s="242"/>
      <c r="G3" s="242"/>
      <c r="H3" s="242"/>
      <c r="I3" s="242"/>
      <c r="J3" s="242"/>
      <c r="K3" s="242"/>
      <c r="L3" s="242"/>
      <c r="M3" s="242"/>
      <c r="N3" s="242"/>
      <c r="O3" s="242"/>
      <c r="P3" s="242"/>
      <c r="Q3" s="242"/>
      <c r="R3" s="242"/>
      <c r="S3" s="242"/>
      <c r="T3" s="242"/>
      <c r="U3" s="132"/>
    </row>
    <row r="4" spans="1:21">
      <c r="A4" s="11" t="s">
        <v>19</v>
      </c>
      <c r="B4" s="11" t="s">
        <v>487</v>
      </c>
      <c r="C4" s="11" t="s">
        <v>488</v>
      </c>
      <c r="D4" s="11" t="s">
        <v>489</v>
      </c>
      <c r="E4" s="11" t="s">
        <v>490</v>
      </c>
      <c r="F4" s="11" t="s">
        <v>491</v>
      </c>
      <c r="G4" s="11" t="s">
        <v>492</v>
      </c>
      <c r="H4" s="11" t="s">
        <v>493</v>
      </c>
      <c r="I4" s="11" t="s">
        <v>494</v>
      </c>
      <c r="J4" s="11" t="s">
        <v>495</v>
      </c>
      <c r="K4" s="11" t="s">
        <v>496</v>
      </c>
      <c r="L4" s="11" t="s">
        <v>497</v>
      </c>
      <c r="M4" s="11" t="s">
        <v>498</v>
      </c>
      <c r="N4" s="11" t="s">
        <v>499</v>
      </c>
      <c r="O4" s="11" t="s">
        <v>500</v>
      </c>
      <c r="P4" s="11" t="s">
        <v>501</v>
      </c>
      <c r="Q4" s="11" t="s">
        <v>502</v>
      </c>
      <c r="R4" s="11" t="s">
        <v>503</v>
      </c>
      <c r="S4" s="11" t="s">
        <v>504</v>
      </c>
      <c r="T4" s="11" t="s">
        <v>505</v>
      </c>
      <c r="U4" s="11" t="s">
        <v>508</v>
      </c>
    </row>
    <row r="5" spans="1:21">
      <c r="A5" s="12">
        <f t="shared" ref="A5:A24" si="0">+A6-1</f>
        <v>1983</v>
      </c>
      <c r="B5" s="364" t="s">
        <v>34</v>
      </c>
      <c r="C5" s="364" t="s">
        <v>34</v>
      </c>
      <c r="D5" s="364" t="s">
        <v>34</v>
      </c>
      <c r="E5" s="364" t="s">
        <v>34</v>
      </c>
      <c r="F5" s="364" t="s">
        <v>34</v>
      </c>
      <c r="G5" s="364" t="s">
        <v>34</v>
      </c>
      <c r="H5" s="364" t="s">
        <v>34</v>
      </c>
      <c r="I5" s="364">
        <v>1.0009999999999999</v>
      </c>
      <c r="J5" s="364">
        <v>1.006</v>
      </c>
      <c r="K5" s="364">
        <v>1.004</v>
      </c>
      <c r="L5" s="364">
        <v>1.002</v>
      </c>
      <c r="M5" s="364">
        <v>1.006</v>
      </c>
      <c r="N5" s="364">
        <v>1.0029999999999999</v>
      </c>
      <c r="O5" s="364">
        <v>1.004</v>
      </c>
      <c r="P5" s="364">
        <v>1.0029999999999999</v>
      </c>
      <c r="Q5" s="364">
        <v>0.997</v>
      </c>
      <c r="R5" s="364">
        <v>0.999</v>
      </c>
      <c r="S5" s="364">
        <v>0.998</v>
      </c>
      <c r="T5" s="364">
        <v>1.0009999999999999</v>
      </c>
      <c r="U5" s="21"/>
    </row>
    <row r="6" spans="1:21">
      <c r="A6" s="12">
        <f t="shared" si="0"/>
        <v>1984</v>
      </c>
      <c r="B6" s="364" t="s">
        <v>34</v>
      </c>
      <c r="C6" s="364" t="s">
        <v>34</v>
      </c>
      <c r="D6" s="364" t="s">
        <v>34</v>
      </c>
      <c r="E6" s="364" t="s">
        <v>34</v>
      </c>
      <c r="F6" s="364" t="s">
        <v>34</v>
      </c>
      <c r="G6" s="364" t="s">
        <v>34</v>
      </c>
      <c r="H6" s="364">
        <v>1.002</v>
      </c>
      <c r="I6" s="364">
        <v>1.0029999999999999</v>
      </c>
      <c r="J6" s="364">
        <v>1.0029999999999999</v>
      </c>
      <c r="K6" s="364">
        <v>1.002</v>
      </c>
      <c r="L6" s="364">
        <v>1.0029999999999999</v>
      </c>
      <c r="M6" s="364">
        <v>1.0009999999999999</v>
      </c>
      <c r="N6" s="364">
        <v>1.0029999999999999</v>
      </c>
      <c r="O6" s="364">
        <v>1.0009999999999999</v>
      </c>
      <c r="P6" s="364">
        <v>0.997</v>
      </c>
      <c r="Q6" s="364">
        <v>1</v>
      </c>
      <c r="R6" s="364">
        <v>1.0009999999999999</v>
      </c>
      <c r="S6" s="364">
        <v>1</v>
      </c>
      <c r="T6" s="364">
        <v>1</v>
      </c>
      <c r="U6" s="21"/>
    </row>
    <row r="7" spans="1:21">
      <c r="A7" s="12">
        <f t="shared" si="0"/>
        <v>1985</v>
      </c>
      <c r="B7" s="364" t="s">
        <v>34</v>
      </c>
      <c r="C7" s="364" t="s">
        <v>34</v>
      </c>
      <c r="D7" s="364" t="s">
        <v>34</v>
      </c>
      <c r="E7" s="364" t="s">
        <v>34</v>
      </c>
      <c r="F7" s="364" t="s">
        <v>34</v>
      </c>
      <c r="G7" s="364">
        <v>1</v>
      </c>
      <c r="H7" s="364">
        <v>1.0009999999999999</v>
      </c>
      <c r="I7" s="364">
        <v>1.0029999999999999</v>
      </c>
      <c r="J7" s="364">
        <v>1.0029999999999999</v>
      </c>
      <c r="K7" s="364">
        <v>1.0029999999999999</v>
      </c>
      <c r="L7" s="364">
        <v>1.0049999999999999</v>
      </c>
      <c r="M7" s="364">
        <v>1.002</v>
      </c>
      <c r="N7" s="364">
        <v>1.0029999999999999</v>
      </c>
      <c r="O7" s="364">
        <v>0.998</v>
      </c>
      <c r="P7" s="364">
        <v>0.999</v>
      </c>
      <c r="Q7" s="364">
        <v>0.999</v>
      </c>
      <c r="R7" s="364">
        <v>1</v>
      </c>
      <c r="S7" s="364">
        <v>1.0009999999999999</v>
      </c>
      <c r="T7" s="364">
        <v>1</v>
      </c>
      <c r="U7" s="21"/>
    </row>
    <row r="8" spans="1:21">
      <c r="A8" s="12">
        <f t="shared" si="0"/>
        <v>1986</v>
      </c>
      <c r="B8" s="364" t="s">
        <v>34</v>
      </c>
      <c r="C8" s="364" t="s">
        <v>34</v>
      </c>
      <c r="D8" s="364" t="s">
        <v>34</v>
      </c>
      <c r="E8" s="364" t="s">
        <v>34</v>
      </c>
      <c r="F8" s="364">
        <v>1.0049999999999999</v>
      </c>
      <c r="G8" s="364">
        <v>1.0029999999999999</v>
      </c>
      <c r="H8" s="364">
        <v>1.006</v>
      </c>
      <c r="I8" s="364">
        <v>1.0049999999999999</v>
      </c>
      <c r="J8" s="364">
        <v>1.006</v>
      </c>
      <c r="K8" s="364">
        <v>1.004</v>
      </c>
      <c r="L8" s="364">
        <v>1.0049999999999999</v>
      </c>
      <c r="M8" s="364">
        <v>1</v>
      </c>
      <c r="N8" s="364">
        <v>1.002</v>
      </c>
      <c r="O8" s="364">
        <v>0.998</v>
      </c>
      <c r="P8" s="364">
        <v>1.0009999999999999</v>
      </c>
      <c r="Q8" s="364">
        <v>1.006</v>
      </c>
      <c r="R8" s="364">
        <v>0.99399999999999999</v>
      </c>
      <c r="S8" s="364">
        <v>1.002</v>
      </c>
      <c r="T8" s="364" t="s">
        <v>34</v>
      </c>
      <c r="U8" s="21"/>
    </row>
    <row r="9" spans="1:21">
      <c r="A9" s="12">
        <f t="shared" si="0"/>
        <v>1987</v>
      </c>
      <c r="B9" s="364" t="s">
        <v>34</v>
      </c>
      <c r="C9" s="364" t="s">
        <v>34</v>
      </c>
      <c r="D9" s="364" t="s">
        <v>34</v>
      </c>
      <c r="E9" s="364">
        <v>1</v>
      </c>
      <c r="F9" s="364">
        <v>1.0029999999999999</v>
      </c>
      <c r="G9" s="364">
        <v>1.0109999999999999</v>
      </c>
      <c r="H9" s="364">
        <v>0.999</v>
      </c>
      <c r="I9" s="364">
        <v>1.0069999999999999</v>
      </c>
      <c r="J9" s="364">
        <v>1.0029999999999999</v>
      </c>
      <c r="K9" s="364">
        <v>1.004</v>
      </c>
      <c r="L9" s="364">
        <v>1.0049999999999999</v>
      </c>
      <c r="M9" s="364">
        <v>1.0009999999999999</v>
      </c>
      <c r="N9" s="364">
        <v>0.997</v>
      </c>
      <c r="O9" s="364">
        <v>1.0009999999999999</v>
      </c>
      <c r="P9" s="364">
        <v>1</v>
      </c>
      <c r="Q9" s="364">
        <v>1.0049999999999999</v>
      </c>
      <c r="R9" s="364">
        <v>1.002</v>
      </c>
      <c r="S9" s="364" t="s">
        <v>34</v>
      </c>
      <c r="T9" s="364" t="s">
        <v>34</v>
      </c>
      <c r="U9" s="21"/>
    </row>
    <row r="10" spans="1:21">
      <c r="A10" s="12">
        <f t="shared" si="0"/>
        <v>1988</v>
      </c>
      <c r="B10" s="364" t="s">
        <v>34</v>
      </c>
      <c r="C10" s="364" t="s">
        <v>34</v>
      </c>
      <c r="D10" s="364">
        <v>1.002</v>
      </c>
      <c r="E10" s="364">
        <v>1.006</v>
      </c>
      <c r="F10" s="364">
        <v>1.0049999999999999</v>
      </c>
      <c r="G10" s="364">
        <v>1.0049999999999999</v>
      </c>
      <c r="H10" s="364">
        <v>1.002</v>
      </c>
      <c r="I10" s="364">
        <v>1.0049999999999999</v>
      </c>
      <c r="J10" s="364">
        <v>1.0029999999999999</v>
      </c>
      <c r="K10" s="364">
        <v>1.0029999999999999</v>
      </c>
      <c r="L10" s="364">
        <v>1.002</v>
      </c>
      <c r="M10" s="364">
        <v>0.998</v>
      </c>
      <c r="N10" s="364">
        <v>0.999</v>
      </c>
      <c r="O10" s="364">
        <v>1</v>
      </c>
      <c r="P10" s="364">
        <v>1.0009999999999999</v>
      </c>
      <c r="Q10" s="364">
        <v>1.0009999999999999</v>
      </c>
      <c r="R10" s="364" t="s">
        <v>34</v>
      </c>
      <c r="S10" s="364" t="s">
        <v>34</v>
      </c>
      <c r="T10" s="364" t="s">
        <v>34</v>
      </c>
      <c r="U10" s="21"/>
    </row>
    <row r="11" spans="1:21">
      <c r="A11" s="12">
        <f t="shared" si="0"/>
        <v>1989</v>
      </c>
      <c r="B11" s="364" t="s">
        <v>34</v>
      </c>
      <c r="C11" s="364">
        <v>1.0069999999999999</v>
      </c>
      <c r="D11" s="364">
        <v>1.006</v>
      </c>
      <c r="E11" s="364">
        <v>1.0049999999999999</v>
      </c>
      <c r="F11" s="364">
        <v>1.0049999999999999</v>
      </c>
      <c r="G11" s="364">
        <v>1.008</v>
      </c>
      <c r="H11" s="364">
        <v>1.006</v>
      </c>
      <c r="I11" s="364">
        <v>1</v>
      </c>
      <c r="J11" s="364">
        <v>1.0029999999999999</v>
      </c>
      <c r="K11" s="364">
        <v>0.999</v>
      </c>
      <c r="L11" s="364">
        <v>0.999</v>
      </c>
      <c r="M11" s="364">
        <v>0.999</v>
      </c>
      <c r="N11" s="364">
        <v>0.999</v>
      </c>
      <c r="O11" s="364">
        <v>1.002</v>
      </c>
      <c r="P11" s="364">
        <v>0.999</v>
      </c>
      <c r="Q11" s="364" t="s">
        <v>34</v>
      </c>
      <c r="R11" s="364" t="s">
        <v>34</v>
      </c>
      <c r="S11" s="364" t="s">
        <v>34</v>
      </c>
      <c r="T11" s="364" t="s">
        <v>34</v>
      </c>
      <c r="U11" s="21"/>
    </row>
    <row r="12" spans="1:21">
      <c r="A12" s="12">
        <f t="shared" si="0"/>
        <v>1990</v>
      </c>
      <c r="B12" s="364">
        <v>1.0029999999999999</v>
      </c>
      <c r="C12" s="364">
        <v>1.0069999999999999</v>
      </c>
      <c r="D12" s="364">
        <v>1.0069999999999999</v>
      </c>
      <c r="E12" s="364">
        <v>1.0049999999999999</v>
      </c>
      <c r="F12" s="364">
        <v>1.0029999999999999</v>
      </c>
      <c r="G12" s="364">
        <v>1.0029999999999999</v>
      </c>
      <c r="H12" s="364">
        <v>1.0029999999999999</v>
      </c>
      <c r="I12" s="364">
        <v>0.997</v>
      </c>
      <c r="J12" s="364">
        <v>1.002</v>
      </c>
      <c r="K12" s="364">
        <v>1</v>
      </c>
      <c r="L12" s="364">
        <v>1</v>
      </c>
      <c r="M12" s="364">
        <v>0.998</v>
      </c>
      <c r="N12" s="364">
        <v>0.999</v>
      </c>
      <c r="O12" s="364">
        <v>1</v>
      </c>
      <c r="P12" s="364" t="s">
        <v>34</v>
      </c>
      <c r="Q12" s="364" t="s">
        <v>34</v>
      </c>
      <c r="R12" s="364" t="s">
        <v>34</v>
      </c>
      <c r="S12" s="364" t="s">
        <v>34</v>
      </c>
      <c r="T12" s="364" t="s">
        <v>34</v>
      </c>
      <c r="U12" s="21"/>
    </row>
    <row r="13" spans="1:21">
      <c r="A13" s="12">
        <f t="shared" si="0"/>
        <v>1991</v>
      </c>
      <c r="B13" s="364">
        <v>1.008</v>
      </c>
      <c r="C13" s="364">
        <v>1.0049999999999999</v>
      </c>
      <c r="D13" s="364">
        <v>1.006</v>
      </c>
      <c r="E13" s="364">
        <v>1.002</v>
      </c>
      <c r="F13" s="364">
        <v>1.0029999999999999</v>
      </c>
      <c r="G13" s="364">
        <v>1.002</v>
      </c>
      <c r="H13" s="364">
        <v>1.0029999999999999</v>
      </c>
      <c r="I13" s="364">
        <v>1.0009999999999999</v>
      </c>
      <c r="J13" s="364">
        <v>1</v>
      </c>
      <c r="K13" s="364">
        <v>0.999</v>
      </c>
      <c r="L13" s="364">
        <v>0.998</v>
      </c>
      <c r="M13" s="364">
        <v>1</v>
      </c>
      <c r="N13" s="364">
        <v>1.0009999999999999</v>
      </c>
      <c r="O13" s="364" t="s">
        <v>34</v>
      </c>
      <c r="P13" s="364" t="s">
        <v>34</v>
      </c>
      <c r="Q13" s="364" t="s">
        <v>34</v>
      </c>
      <c r="R13" s="364" t="s">
        <v>34</v>
      </c>
      <c r="S13" s="364" t="s">
        <v>34</v>
      </c>
      <c r="T13" s="364" t="s">
        <v>34</v>
      </c>
    </row>
    <row r="14" spans="1:21" ht="12.75" customHeight="1">
      <c r="A14" s="12">
        <f t="shared" si="0"/>
        <v>1992</v>
      </c>
      <c r="B14" s="364">
        <v>1.0049999999999999</v>
      </c>
      <c r="C14" s="364">
        <v>1.004</v>
      </c>
      <c r="D14" s="364">
        <v>1.002</v>
      </c>
      <c r="E14" s="364">
        <v>1.0049999999999999</v>
      </c>
      <c r="F14" s="364">
        <v>1.0029999999999999</v>
      </c>
      <c r="G14" s="364">
        <v>1.0049999999999999</v>
      </c>
      <c r="H14" s="364">
        <v>1</v>
      </c>
      <c r="I14" s="364">
        <v>0.999</v>
      </c>
      <c r="J14" s="364">
        <v>1.0009999999999999</v>
      </c>
      <c r="K14" s="364">
        <v>0.999</v>
      </c>
      <c r="L14" s="364">
        <v>1.002</v>
      </c>
      <c r="M14" s="364">
        <v>0.999</v>
      </c>
      <c r="N14" s="364" t="s">
        <v>34</v>
      </c>
      <c r="O14" s="364" t="s">
        <v>34</v>
      </c>
      <c r="P14" s="364" t="s">
        <v>34</v>
      </c>
      <c r="Q14" s="364" t="s">
        <v>34</v>
      </c>
      <c r="R14" s="364" t="s">
        <v>34</v>
      </c>
      <c r="S14" s="364" t="s">
        <v>34</v>
      </c>
      <c r="T14" s="364" t="s">
        <v>34</v>
      </c>
    </row>
    <row r="15" spans="1:21" ht="12.75" customHeight="1">
      <c r="A15" s="12">
        <f t="shared" si="0"/>
        <v>1993</v>
      </c>
      <c r="B15" s="364">
        <v>1.0069999999999999</v>
      </c>
      <c r="C15" s="364">
        <v>1.0109999999999999</v>
      </c>
      <c r="D15" s="364">
        <v>1.014</v>
      </c>
      <c r="E15" s="364">
        <v>1.004</v>
      </c>
      <c r="F15" s="364">
        <v>0.999</v>
      </c>
      <c r="G15" s="364">
        <v>1</v>
      </c>
      <c r="H15" s="364">
        <v>0.996</v>
      </c>
      <c r="I15" s="364">
        <v>0.999</v>
      </c>
      <c r="J15" s="364">
        <v>0.998</v>
      </c>
      <c r="K15" s="364">
        <v>0.998</v>
      </c>
      <c r="L15" s="364">
        <v>0.997</v>
      </c>
      <c r="M15" s="364" t="s">
        <v>34</v>
      </c>
      <c r="N15" s="364" t="s">
        <v>34</v>
      </c>
      <c r="O15" s="364" t="s">
        <v>34</v>
      </c>
      <c r="P15" s="364" t="s">
        <v>34</v>
      </c>
      <c r="Q15" s="364" t="s">
        <v>34</v>
      </c>
      <c r="R15" s="364" t="s">
        <v>34</v>
      </c>
      <c r="S15" s="364" t="s">
        <v>34</v>
      </c>
      <c r="T15" s="364" t="s">
        <v>34</v>
      </c>
    </row>
    <row r="16" spans="1:21" ht="12.75" customHeight="1">
      <c r="A16" s="12">
        <f t="shared" si="0"/>
        <v>1994</v>
      </c>
      <c r="B16" s="364">
        <v>1.0109999999999999</v>
      </c>
      <c r="C16" s="364">
        <v>1.004</v>
      </c>
      <c r="D16" s="364">
        <v>1.0069999999999999</v>
      </c>
      <c r="E16" s="364">
        <v>1.006</v>
      </c>
      <c r="F16" s="364">
        <v>1.0009999999999999</v>
      </c>
      <c r="G16" s="364">
        <v>0.996</v>
      </c>
      <c r="H16" s="364">
        <v>0.995</v>
      </c>
      <c r="I16" s="364">
        <v>1.002</v>
      </c>
      <c r="J16" s="364">
        <v>1.002</v>
      </c>
      <c r="K16" s="364">
        <v>0.999</v>
      </c>
      <c r="L16" s="364" t="s">
        <v>34</v>
      </c>
      <c r="M16" s="364" t="s">
        <v>34</v>
      </c>
      <c r="N16" s="364" t="s">
        <v>34</v>
      </c>
      <c r="O16" s="364" t="s">
        <v>34</v>
      </c>
      <c r="P16" s="364" t="s">
        <v>34</v>
      </c>
      <c r="Q16" s="364" t="s">
        <v>34</v>
      </c>
      <c r="R16" s="364" t="s">
        <v>34</v>
      </c>
      <c r="S16" s="364" t="s">
        <v>34</v>
      </c>
      <c r="T16" s="364" t="s">
        <v>34</v>
      </c>
    </row>
    <row r="17" spans="1:21" ht="12.75" customHeight="1">
      <c r="A17" s="12">
        <f t="shared" si="0"/>
        <v>1995</v>
      </c>
      <c r="B17" s="364">
        <v>1.0149999999999999</v>
      </c>
      <c r="C17" s="364">
        <v>0.996</v>
      </c>
      <c r="D17" s="364">
        <v>1.006</v>
      </c>
      <c r="E17" s="364">
        <v>0.999</v>
      </c>
      <c r="F17" s="364">
        <v>1.006</v>
      </c>
      <c r="G17" s="364">
        <v>0.99199999999999999</v>
      </c>
      <c r="H17" s="364">
        <v>0.999</v>
      </c>
      <c r="I17" s="364">
        <v>1.0009999999999999</v>
      </c>
      <c r="J17" s="364">
        <v>0.999</v>
      </c>
      <c r="K17" s="364" t="s">
        <v>34</v>
      </c>
      <c r="L17" s="364" t="s">
        <v>34</v>
      </c>
      <c r="M17" s="364" t="s">
        <v>34</v>
      </c>
      <c r="N17" s="364" t="s">
        <v>34</v>
      </c>
      <c r="O17" s="364" t="s">
        <v>34</v>
      </c>
      <c r="P17" s="364" t="s">
        <v>34</v>
      </c>
      <c r="Q17" s="364" t="s">
        <v>34</v>
      </c>
      <c r="R17" s="364" t="s">
        <v>34</v>
      </c>
      <c r="S17" s="364" t="s">
        <v>34</v>
      </c>
      <c r="T17" s="364" t="s">
        <v>34</v>
      </c>
    </row>
    <row r="18" spans="1:21" ht="12.75" customHeight="1">
      <c r="A18" s="12">
        <f t="shared" si="0"/>
        <v>1996</v>
      </c>
      <c r="B18" s="364">
        <v>1.008</v>
      </c>
      <c r="C18" s="364">
        <v>1.0049999999999999</v>
      </c>
      <c r="D18" s="364">
        <v>1.0009999999999999</v>
      </c>
      <c r="E18" s="364">
        <v>0.998</v>
      </c>
      <c r="F18" s="364">
        <v>0.999</v>
      </c>
      <c r="G18" s="364">
        <v>0.997</v>
      </c>
      <c r="H18" s="364">
        <v>1</v>
      </c>
      <c r="I18" s="364">
        <v>0.999</v>
      </c>
      <c r="J18" s="364" t="s">
        <v>34</v>
      </c>
      <c r="K18" s="364" t="s">
        <v>34</v>
      </c>
      <c r="L18" s="364" t="s">
        <v>34</v>
      </c>
      <c r="M18" s="364" t="s">
        <v>34</v>
      </c>
      <c r="N18" s="364" t="s">
        <v>34</v>
      </c>
      <c r="O18" s="364" t="s">
        <v>34</v>
      </c>
      <c r="P18" s="364" t="s">
        <v>34</v>
      </c>
      <c r="Q18" s="364" t="s">
        <v>34</v>
      </c>
      <c r="R18" s="364" t="s">
        <v>34</v>
      </c>
      <c r="S18" s="364" t="s">
        <v>34</v>
      </c>
      <c r="T18" s="364" t="s">
        <v>34</v>
      </c>
    </row>
    <row r="19" spans="1:21" ht="12.75" customHeight="1">
      <c r="A19" s="12">
        <f t="shared" si="0"/>
        <v>1997</v>
      </c>
      <c r="B19" s="364">
        <v>1.0009999999999999</v>
      </c>
      <c r="C19" s="364">
        <v>0.99399999999999999</v>
      </c>
      <c r="D19" s="364">
        <v>0.998</v>
      </c>
      <c r="E19" s="364">
        <v>0.997</v>
      </c>
      <c r="F19" s="364">
        <v>0.998</v>
      </c>
      <c r="G19" s="364">
        <v>1.0009999999999999</v>
      </c>
      <c r="H19" s="364">
        <v>0.997</v>
      </c>
      <c r="I19" s="364" t="s">
        <v>34</v>
      </c>
      <c r="J19" s="364" t="s">
        <v>34</v>
      </c>
      <c r="K19" s="364" t="s">
        <v>34</v>
      </c>
      <c r="L19" s="364" t="s">
        <v>34</v>
      </c>
      <c r="M19" s="364" t="s">
        <v>34</v>
      </c>
      <c r="N19" s="364" t="s">
        <v>34</v>
      </c>
      <c r="O19" s="364" t="s">
        <v>34</v>
      </c>
      <c r="P19" s="364" t="s">
        <v>34</v>
      </c>
      <c r="Q19" s="364" t="s">
        <v>34</v>
      </c>
      <c r="R19" s="364" t="s">
        <v>34</v>
      </c>
      <c r="S19" s="364" t="s">
        <v>34</v>
      </c>
      <c r="T19" s="364" t="s">
        <v>34</v>
      </c>
    </row>
    <row r="20" spans="1:21" ht="12.75" customHeight="1">
      <c r="A20" s="12">
        <f t="shared" si="0"/>
        <v>1998</v>
      </c>
      <c r="B20" s="364">
        <v>1.0009999999999999</v>
      </c>
      <c r="C20" s="364">
        <v>1.0009999999999999</v>
      </c>
      <c r="D20" s="364">
        <v>0.99399999999999999</v>
      </c>
      <c r="E20" s="364">
        <v>1.0009999999999999</v>
      </c>
      <c r="F20" s="364">
        <v>1.0029999999999999</v>
      </c>
      <c r="G20" s="364">
        <v>1</v>
      </c>
      <c r="H20" s="364" t="s">
        <v>34</v>
      </c>
      <c r="I20" s="364" t="s">
        <v>34</v>
      </c>
      <c r="J20" s="364" t="s">
        <v>34</v>
      </c>
      <c r="K20" s="364" t="s">
        <v>34</v>
      </c>
      <c r="L20" s="364" t="s">
        <v>34</v>
      </c>
      <c r="M20" s="364" t="s">
        <v>34</v>
      </c>
      <c r="N20" s="364" t="s">
        <v>34</v>
      </c>
      <c r="O20" s="364" t="s">
        <v>34</v>
      </c>
      <c r="P20" s="364" t="s">
        <v>34</v>
      </c>
      <c r="Q20" s="364" t="s">
        <v>34</v>
      </c>
      <c r="R20" s="364" t="s">
        <v>34</v>
      </c>
      <c r="S20" s="364" t="s">
        <v>34</v>
      </c>
      <c r="T20" s="364" t="s">
        <v>34</v>
      </c>
    </row>
    <row r="21" spans="1:21" ht="12.75" customHeight="1">
      <c r="A21" s="12">
        <f t="shared" si="0"/>
        <v>1999</v>
      </c>
      <c r="B21" s="364">
        <v>0.999</v>
      </c>
      <c r="C21" s="364">
        <v>0.995</v>
      </c>
      <c r="D21" s="364">
        <v>1.002</v>
      </c>
      <c r="E21" s="364">
        <v>0.999</v>
      </c>
      <c r="F21" s="364">
        <v>0.999</v>
      </c>
      <c r="G21" s="364" t="s">
        <v>34</v>
      </c>
      <c r="H21" s="364" t="s">
        <v>34</v>
      </c>
      <c r="I21" s="364" t="s">
        <v>34</v>
      </c>
      <c r="J21" s="364" t="s">
        <v>34</v>
      </c>
      <c r="K21" s="364" t="s">
        <v>34</v>
      </c>
      <c r="L21" s="364" t="s">
        <v>34</v>
      </c>
      <c r="M21" s="364" t="s">
        <v>34</v>
      </c>
      <c r="N21" s="364" t="s">
        <v>34</v>
      </c>
      <c r="O21" s="364" t="s">
        <v>34</v>
      </c>
      <c r="P21" s="364" t="s">
        <v>34</v>
      </c>
      <c r="Q21" s="364" t="s">
        <v>34</v>
      </c>
      <c r="R21" s="364" t="s">
        <v>34</v>
      </c>
      <c r="S21" s="364" t="s">
        <v>34</v>
      </c>
      <c r="T21" s="364" t="s">
        <v>34</v>
      </c>
    </row>
    <row r="22" spans="1:21" ht="12.75" customHeight="1">
      <c r="A22" s="12">
        <f t="shared" si="0"/>
        <v>2000</v>
      </c>
      <c r="B22" s="364">
        <v>0.996</v>
      </c>
      <c r="C22" s="364">
        <v>0.999</v>
      </c>
      <c r="D22" s="364">
        <v>0.999</v>
      </c>
      <c r="E22" s="364">
        <v>1</v>
      </c>
      <c r="F22" s="364" t="s">
        <v>34</v>
      </c>
      <c r="G22" s="364" t="s">
        <v>34</v>
      </c>
      <c r="H22" s="364" t="s">
        <v>34</v>
      </c>
      <c r="I22" s="364" t="s">
        <v>34</v>
      </c>
      <c r="J22" s="364" t="s">
        <v>34</v>
      </c>
      <c r="K22" s="364" t="s">
        <v>34</v>
      </c>
      <c r="L22" s="364" t="s">
        <v>34</v>
      </c>
      <c r="M22" s="364" t="s">
        <v>34</v>
      </c>
      <c r="N22" s="364" t="s">
        <v>34</v>
      </c>
      <c r="O22" s="364" t="s">
        <v>34</v>
      </c>
      <c r="P22" s="364" t="s">
        <v>34</v>
      </c>
      <c r="Q22" s="364" t="s">
        <v>34</v>
      </c>
      <c r="R22" s="364" t="s">
        <v>34</v>
      </c>
      <c r="S22" s="364" t="s">
        <v>34</v>
      </c>
      <c r="T22" s="364" t="s">
        <v>34</v>
      </c>
    </row>
    <row r="23" spans="1:21" ht="12.75" customHeight="1">
      <c r="A23" s="12">
        <f t="shared" si="0"/>
        <v>2001</v>
      </c>
      <c r="B23" s="364">
        <v>1.0009999999999999</v>
      </c>
      <c r="C23" s="364">
        <v>1.0029999999999999</v>
      </c>
      <c r="D23" s="364">
        <v>0.998</v>
      </c>
      <c r="E23" s="364" t="s">
        <v>34</v>
      </c>
      <c r="F23" s="364" t="s">
        <v>34</v>
      </c>
      <c r="G23" s="364" t="s">
        <v>34</v>
      </c>
      <c r="H23" s="364" t="s">
        <v>34</v>
      </c>
      <c r="I23" s="364" t="s">
        <v>34</v>
      </c>
      <c r="J23" s="364" t="s">
        <v>34</v>
      </c>
      <c r="K23" s="364" t="s">
        <v>34</v>
      </c>
      <c r="L23" s="364" t="s">
        <v>34</v>
      </c>
      <c r="M23" s="364" t="s">
        <v>34</v>
      </c>
      <c r="N23" s="364" t="s">
        <v>34</v>
      </c>
      <c r="O23" s="364" t="s">
        <v>34</v>
      </c>
      <c r="P23" s="364" t="s">
        <v>34</v>
      </c>
      <c r="Q23" s="364" t="s">
        <v>34</v>
      </c>
      <c r="R23" s="364" t="s">
        <v>34</v>
      </c>
      <c r="S23" s="364" t="s">
        <v>34</v>
      </c>
      <c r="T23" s="364" t="s">
        <v>34</v>
      </c>
    </row>
    <row r="24" spans="1:21" ht="12.75" customHeight="1">
      <c r="A24" s="12">
        <f t="shared" si="0"/>
        <v>2002</v>
      </c>
      <c r="B24" s="364">
        <v>1.0009999999999999</v>
      </c>
      <c r="C24" s="364">
        <v>1.0009999999999999</v>
      </c>
      <c r="D24" s="364" t="s">
        <v>34</v>
      </c>
      <c r="E24" s="364" t="s">
        <v>34</v>
      </c>
      <c r="F24" s="364" t="s">
        <v>34</v>
      </c>
      <c r="G24" s="364" t="s">
        <v>34</v>
      </c>
      <c r="H24" s="364" t="s">
        <v>34</v>
      </c>
      <c r="I24" s="364" t="s">
        <v>34</v>
      </c>
      <c r="J24" s="364" t="s">
        <v>34</v>
      </c>
      <c r="K24" s="364" t="s">
        <v>34</v>
      </c>
      <c r="L24" s="364" t="s">
        <v>34</v>
      </c>
      <c r="M24" s="364" t="s">
        <v>34</v>
      </c>
      <c r="N24" s="364" t="s">
        <v>34</v>
      </c>
      <c r="O24" s="364" t="s">
        <v>34</v>
      </c>
      <c r="P24" s="364" t="s">
        <v>34</v>
      </c>
      <c r="Q24" s="364" t="s">
        <v>34</v>
      </c>
      <c r="R24" s="364" t="s">
        <v>34</v>
      </c>
      <c r="S24" s="364" t="s">
        <v>34</v>
      </c>
      <c r="T24" s="364" t="s">
        <v>34</v>
      </c>
    </row>
    <row r="25" spans="1:21" ht="12.75" customHeight="1">
      <c r="A25" s="12">
        <f>'Exhibit 2.1.2'!A25</f>
        <v>2003</v>
      </c>
      <c r="B25" s="364">
        <v>1.0009999999999999</v>
      </c>
      <c r="C25" s="364" t="s">
        <v>34</v>
      </c>
      <c r="D25" s="364" t="s">
        <v>34</v>
      </c>
      <c r="E25" s="364" t="s">
        <v>34</v>
      </c>
      <c r="F25" s="364" t="s">
        <v>34</v>
      </c>
      <c r="G25" s="364" t="s">
        <v>34</v>
      </c>
      <c r="H25" s="364" t="s">
        <v>34</v>
      </c>
      <c r="I25" s="364" t="s">
        <v>34</v>
      </c>
      <c r="J25" s="364" t="s">
        <v>34</v>
      </c>
      <c r="K25" s="364" t="s">
        <v>34</v>
      </c>
      <c r="L25" s="364" t="s">
        <v>34</v>
      </c>
      <c r="M25" s="364" t="s">
        <v>34</v>
      </c>
      <c r="N25" s="364" t="s">
        <v>34</v>
      </c>
      <c r="O25" s="364" t="s">
        <v>34</v>
      </c>
      <c r="P25" s="364" t="s">
        <v>34</v>
      </c>
      <c r="Q25" s="364" t="s">
        <v>34</v>
      </c>
      <c r="R25" s="364" t="s">
        <v>34</v>
      </c>
      <c r="S25" s="364" t="s">
        <v>34</v>
      </c>
      <c r="T25" s="364" t="s">
        <v>34</v>
      </c>
    </row>
    <row r="26" spans="1:21">
      <c r="A26" s="220"/>
      <c r="B26" s="13"/>
      <c r="C26" s="13"/>
      <c r="D26" s="13"/>
      <c r="E26" s="13"/>
      <c r="F26" s="13"/>
      <c r="G26" s="13"/>
      <c r="H26" s="13"/>
      <c r="I26" s="13"/>
      <c r="J26" s="13"/>
      <c r="K26" s="13"/>
      <c r="L26" s="13"/>
      <c r="M26" s="13"/>
      <c r="N26" s="13"/>
      <c r="O26" s="13"/>
      <c r="P26" s="13"/>
      <c r="R26" s="13"/>
      <c r="S26" s="13"/>
      <c r="T26" s="13"/>
    </row>
    <row r="27" spans="1:21">
      <c r="A27" s="14"/>
      <c r="B27" s="13"/>
      <c r="C27" s="13"/>
      <c r="D27" s="13"/>
      <c r="E27" s="13"/>
      <c r="F27" s="13"/>
      <c r="G27" s="13"/>
      <c r="H27" s="13"/>
      <c r="I27" s="13"/>
      <c r="J27" s="13"/>
      <c r="K27" s="13"/>
      <c r="L27" s="13"/>
      <c r="M27" s="13"/>
      <c r="N27" s="13"/>
      <c r="O27" s="13"/>
      <c r="P27" s="13"/>
      <c r="Q27" s="13"/>
      <c r="R27" s="13"/>
      <c r="S27" s="13"/>
      <c r="T27" s="13"/>
    </row>
    <row r="28" spans="1:21">
      <c r="A28" s="14" t="s">
        <v>20</v>
      </c>
      <c r="B28" s="376">
        <f>AVERAGE(B20:B25)</f>
        <v>0.99983333333333313</v>
      </c>
      <c r="C28" s="376">
        <f>AVERAGE(C19:C24)</f>
        <v>0.99883333333333335</v>
      </c>
      <c r="D28" s="376">
        <f>AVERAGE(D18:D23)</f>
        <v>0.9986666666666667</v>
      </c>
      <c r="E28" s="376">
        <f>AVERAGE(E17:E22)</f>
        <v>0.999</v>
      </c>
      <c r="F28" s="376">
        <f>AVERAGE(F16:F21)</f>
        <v>1.0009999999999999</v>
      </c>
      <c r="G28" s="376">
        <f>AVERAGE(G15:G20)</f>
        <v>0.99766666666666659</v>
      </c>
      <c r="H28" s="376">
        <f>AVERAGE(H14:H19)</f>
        <v>0.99783333333333335</v>
      </c>
      <c r="I28" s="376">
        <f>AVERAGE(I13:I18)</f>
        <v>1.0001666666666666</v>
      </c>
      <c r="J28" s="376">
        <f>AVERAGE(J12:J17)</f>
        <v>1.0003333333333331</v>
      </c>
      <c r="K28" s="376">
        <f>AVERAGE(K11:K16)</f>
        <v>0.999</v>
      </c>
      <c r="L28" s="376">
        <f>AVERAGE(L10:L15)</f>
        <v>0.99966666666666659</v>
      </c>
      <c r="M28" s="376">
        <f>AVERAGE(M9:M14)</f>
        <v>0.99916666666666654</v>
      </c>
      <c r="N28" s="376">
        <f>AVERAGE(N8:N13)</f>
        <v>0.99949999999999994</v>
      </c>
      <c r="O28" s="376">
        <f>AVERAGE(O7:O12)</f>
        <v>0.99983333333333324</v>
      </c>
      <c r="P28" s="376">
        <f>AVERAGE(P6:P11)</f>
        <v>0.99949999999999983</v>
      </c>
      <c r="Q28" s="13">
        <f>AVERAGE(Q5:Q10)</f>
        <v>1.0013333333333332</v>
      </c>
      <c r="R28" s="13">
        <f>AVERAGE(R5:R9)</f>
        <v>0.99919999999999987</v>
      </c>
      <c r="S28" s="13">
        <f>AVERAGE(S5:S8)</f>
        <v>1.0002499999999999</v>
      </c>
      <c r="T28" s="13">
        <f>AVERAGE(T5:T7)</f>
        <v>1.0003333333333333</v>
      </c>
      <c r="U28" s="16"/>
    </row>
    <row r="29" spans="1:21">
      <c r="A29" s="220" t="s">
        <v>21</v>
      </c>
      <c r="B29" s="13">
        <f>C29*B28</f>
        <v>1.00042477589007</v>
      </c>
      <c r="C29" s="13">
        <f t="shared" ref="C29:T29" si="1">D29*C28</f>
        <v>1.0005915411469279</v>
      </c>
      <c r="D29" s="13">
        <f t="shared" si="1"/>
        <v>1.0017602614519552</v>
      </c>
      <c r="E29" s="13">
        <f t="shared" si="1"/>
        <v>1.0030977250854023</v>
      </c>
      <c r="F29" s="13">
        <f t="shared" si="1"/>
        <v>1.0041018269123145</v>
      </c>
      <c r="G29" s="13">
        <f t="shared" si="1"/>
        <v>1.0030987281841306</v>
      </c>
      <c r="H29" s="13">
        <f t="shared" si="1"/>
        <v>1.0054447659713972</v>
      </c>
      <c r="I29" s="13">
        <f t="shared" si="1"/>
        <v>1.0076279598844802</v>
      </c>
      <c r="J29" s="13">
        <f t="shared" si="1"/>
        <v>1.0074600498761674</v>
      </c>
      <c r="K29" s="13">
        <f t="shared" si="1"/>
        <v>1.0071243417622469</v>
      </c>
      <c r="L29" s="13">
        <f t="shared" si="1"/>
        <v>1.0081324742364834</v>
      </c>
      <c r="M29" s="13">
        <f t="shared" si="1"/>
        <v>1.0084686304466324</v>
      </c>
      <c r="N29" s="13">
        <f t="shared" si="1"/>
        <v>1.0093097218815339</v>
      </c>
      <c r="O29" s="13">
        <f t="shared" si="1"/>
        <v>1.0098146291961321</v>
      </c>
      <c r="P29" s="13">
        <f t="shared" si="1"/>
        <v>1.0099829596894137</v>
      </c>
      <c r="Q29" s="13">
        <f t="shared" si="1"/>
        <v>1.0104882037913094</v>
      </c>
      <c r="R29" s="13">
        <f t="shared" si="1"/>
        <v>1.0091426802176859</v>
      </c>
      <c r="S29" s="13">
        <f t="shared" si="1"/>
        <v>1.0099506407302703</v>
      </c>
      <c r="T29" s="13">
        <f t="shared" si="1"/>
        <v>1.0096982161762265</v>
      </c>
      <c r="U29" s="364">
        <v>1.0093617622554747</v>
      </c>
    </row>
    <row r="30" spans="1:21" ht="19.149999999999999" customHeight="1">
      <c r="A30" s="164" t="s">
        <v>26</v>
      </c>
      <c r="B30" s="511" t="s">
        <v>507</v>
      </c>
      <c r="C30" s="511"/>
      <c r="D30" s="511"/>
      <c r="E30" s="511"/>
      <c r="F30" s="511"/>
      <c r="G30" s="511"/>
      <c r="H30" s="511"/>
      <c r="I30" s="511"/>
      <c r="J30" s="511"/>
      <c r="K30" s="511"/>
      <c r="L30" s="511"/>
      <c r="M30" s="511"/>
      <c r="N30" s="511"/>
      <c r="O30" s="511"/>
      <c r="P30" s="511"/>
      <c r="Q30" s="511"/>
      <c r="R30" s="511"/>
      <c r="S30" s="465"/>
      <c r="T30" s="281"/>
    </row>
    <row r="31" spans="1:21" ht="13.15" customHeight="1">
      <c r="B31" s="512" t="s">
        <v>507</v>
      </c>
      <c r="C31" s="512"/>
      <c r="D31" s="512"/>
      <c r="E31" s="512"/>
      <c r="F31" s="512"/>
      <c r="G31" s="512"/>
      <c r="H31" s="512"/>
      <c r="I31" s="512"/>
      <c r="J31" s="512"/>
      <c r="K31" s="512"/>
      <c r="L31" s="512"/>
      <c r="M31" s="512"/>
      <c r="N31" s="512"/>
      <c r="O31" s="512"/>
      <c r="P31" s="512"/>
      <c r="Q31" s="512"/>
      <c r="R31" s="512"/>
      <c r="S31" s="466"/>
      <c r="T31" s="282"/>
    </row>
  </sheetData>
  <mergeCells count="1">
    <mergeCell ref="B30:R31"/>
  </mergeCells>
  <pageMargins left="0.7" right="0.7" top="0.75" bottom="0.75" header="0.3" footer="0.3"/>
  <pageSetup scale="73" orientation="landscape" blackAndWhite="1" r:id="rId1"/>
  <headerFooter scaleWithDoc="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pageSetUpPr fitToPage="1"/>
  </sheetPr>
  <dimension ref="A1:Q34"/>
  <sheetViews>
    <sheetView zoomScaleNormal="100" workbookViewId="0"/>
  </sheetViews>
  <sheetFormatPr defaultColWidth="9.1796875" defaultRowHeight="12.5"/>
  <cols>
    <col min="1" max="1" width="18.54296875" style="108" customWidth="1"/>
    <col min="2" max="17" width="8.26953125" style="108" customWidth="1"/>
    <col min="18" max="16384" width="9.1796875" style="108"/>
  </cols>
  <sheetData>
    <row r="1" spans="1:17" ht="13.15" customHeight="1">
      <c r="A1" s="240" t="s">
        <v>31</v>
      </c>
      <c r="B1" s="240"/>
      <c r="C1" s="240"/>
      <c r="D1" s="240"/>
      <c r="E1" s="240"/>
      <c r="F1" s="240"/>
      <c r="G1" s="240"/>
      <c r="H1" s="240"/>
      <c r="I1" s="240"/>
      <c r="J1" s="240"/>
      <c r="K1" s="240"/>
      <c r="L1" s="240"/>
      <c r="M1" s="240"/>
      <c r="N1" s="240"/>
      <c r="O1" s="240"/>
      <c r="P1" s="240"/>
      <c r="Q1" s="240"/>
    </row>
    <row r="2" spans="1:17" ht="13.15" customHeight="1">
      <c r="A2" s="118"/>
      <c r="B2" s="157"/>
      <c r="C2" s="118"/>
      <c r="D2" s="118"/>
      <c r="E2" s="118"/>
      <c r="F2" s="118"/>
      <c r="G2" s="118"/>
      <c r="H2" s="118"/>
      <c r="I2" s="118"/>
      <c r="J2" s="118"/>
      <c r="K2" s="118"/>
      <c r="L2" s="118"/>
      <c r="M2" s="118"/>
      <c r="N2" s="118"/>
      <c r="O2" s="118"/>
      <c r="P2" s="118"/>
      <c r="Q2" s="118"/>
    </row>
    <row r="3" spans="1:17" ht="13.15" customHeight="1">
      <c r="A3" s="118"/>
      <c r="B3" s="242" t="s">
        <v>18</v>
      </c>
      <c r="C3" s="242"/>
      <c r="D3" s="242"/>
      <c r="E3" s="242"/>
      <c r="F3" s="242"/>
      <c r="G3" s="242"/>
      <c r="H3" s="242"/>
      <c r="I3" s="242"/>
      <c r="J3" s="242"/>
      <c r="K3" s="242"/>
      <c r="L3" s="242"/>
      <c r="M3" s="242"/>
      <c r="N3" s="242"/>
      <c r="O3" s="242"/>
      <c r="P3" s="242"/>
      <c r="Q3" s="242"/>
    </row>
    <row r="4" spans="1:17" ht="13.15" customHeight="1">
      <c r="A4" s="11" t="s">
        <v>19</v>
      </c>
      <c r="B4" s="11" t="s">
        <v>471</v>
      </c>
      <c r="C4" s="11" t="s">
        <v>472</v>
      </c>
      <c r="D4" s="11" t="s">
        <v>473</v>
      </c>
      <c r="E4" s="11" t="s">
        <v>474</v>
      </c>
      <c r="F4" s="11" t="s">
        <v>475</v>
      </c>
      <c r="G4" s="11" t="s">
        <v>476</v>
      </c>
      <c r="H4" s="11" t="s">
        <v>477</v>
      </c>
      <c r="I4" s="11" t="s">
        <v>478</v>
      </c>
      <c r="J4" s="11" t="s">
        <v>479</v>
      </c>
      <c r="K4" s="11" t="s">
        <v>480</v>
      </c>
      <c r="L4" s="11" t="s">
        <v>481</v>
      </c>
      <c r="M4" s="11" t="s">
        <v>482</v>
      </c>
      <c r="N4" s="11" t="s">
        <v>483</v>
      </c>
      <c r="O4" s="11" t="s">
        <v>484</v>
      </c>
      <c r="P4" s="11" t="s">
        <v>485</v>
      </c>
      <c r="Q4" s="11" t="s">
        <v>486</v>
      </c>
    </row>
    <row r="5" spans="1:17" ht="13.15" customHeight="1">
      <c r="A5" s="12">
        <f t="shared" ref="A5:A28" si="0">+A6-1</f>
        <v>1995</v>
      </c>
      <c r="B5" s="364" t="s">
        <v>34</v>
      </c>
      <c r="C5" s="364" t="s">
        <v>34</v>
      </c>
      <c r="D5" s="364" t="s">
        <v>34</v>
      </c>
      <c r="E5" s="364" t="s">
        <v>34</v>
      </c>
      <c r="F5" s="364" t="s">
        <v>34</v>
      </c>
      <c r="G5" s="364" t="s">
        <v>34</v>
      </c>
      <c r="H5" s="364" t="s">
        <v>34</v>
      </c>
      <c r="I5" s="364" t="s">
        <v>34</v>
      </c>
      <c r="J5" s="364" t="s">
        <v>34</v>
      </c>
      <c r="K5" s="364" t="s">
        <v>34</v>
      </c>
      <c r="L5" s="364" t="s">
        <v>34</v>
      </c>
      <c r="M5" s="364">
        <v>1.008</v>
      </c>
      <c r="N5" s="364">
        <v>1.0069999999999999</v>
      </c>
      <c r="O5" s="364">
        <v>1.0049999999999999</v>
      </c>
      <c r="P5" s="364">
        <v>1.0049999999999999</v>
      </c>
      <c r="Q5" s="364">
        <v>1.0029999999999999</v>
      </c>
    </row>
    <row r="6" spans="1:17" ht="13.15" customHeight="1">
      <c r="A6" s="12">
        <f t="shared" si="0"/>
        <v>1996</v>
      </c>
      <c r="B6" s="364" t="s">
        <v>34</v>
      </c>
      <c r="C6" s="364" t="s">
        <v>34</v>
      </c>
      <c r="D6" s="364" t="s">
        <v>34</v>
      </c>
      <c r="E6" s="364" t="s">
        <v>34</v>
      </c>
      <c r="F6" s="364" t="s">
        <v>34</v>
      </c>
      <c r="G6" s="364" t="s">
        <v>34</v>
      </c>
      <c r="H6" s="364" t="s">
        <v>34</v>
      </c>
      <c r="I6" s="364" t="s">
        <v>34</v>
      </c>
      <c r="J6" s="364" t="s">
        <v>34</v>
      </c>
      <c r="K6" s="364" t="s">
        <v>34</v>
      </c>
      <c r="L6" s="364">
        <v>1.012</v>
      </c>
      <c r="M6" s="364">
        <v>1.0089999999999999</v>
      </c>
      <c r="N6" s="364">
        <v>1.006</v>
      </c>
      <c r="O6" s="364">
        <v>1.006</v>
      </c>
      <c r="P6" s="364">
        <v>1.004</v>
      </c>
      <c r="Q6" s="364">
        <v>1.004</v>
      </c>
    </row>
    <row r="7" spans="1:17" ht="13.15" customHeight="1">
      <c r="A7" s="12">
        <f t="shared" si="0"/>
        <v>1997</v>
      </c>
      <c r="B7" s="364" t="s">
        <v>34</v>
      </c>
      <c r="C7" s="364" t="s">
        <v>34</v>
      </c>
      <c r="D7" s="364" t="s">
        <v>34</v>
      </c>
      <c r="E7" s="364" t="s">
        <v>34</v>
      </c>
      <c r="F7" s="364" t="s">
        <v>34</v>
      </c>
      <c r="G7" s="364" t="s">
        <v>34</v>
      </c>
      <c r="H7" s="364" t="s">
        <v>34</v>
      </c>
      <c r="I7" s="364" t="s">
        <v>34</v>
      </c>
      <c r="J7" s="364" t="s">
        <v>34</v>
      </c>
      <c r="K7" s="364">
        <v>1.016</v>
      </c>
      <c r="L7" s="364">
        <v>1.012</v>
      </c>
      <c r="M7" s="364">
        <v>1.008</v>
      </c>
      <c r="N7" s="364">
        <v>1.0069999999999999</v>
      </c>
      <c r="O7" s="364">
        <v>1.006</v>
      </c>
      <c r="P7" s="364">
        <v>1.006</v>
      </c>
      <c r="Q7" s="364">
        <v>1.0049999999999999</v>
      </c>
    </row>
    <row r="8" spans="1:17" ht="13.15" customHeight="1">
      <c r="A8" s="12">
        <f t="shared" si="0"/>
        <v>1998</v>
      </c>
      <c r="B8" s="364" t="s">
        <v>34</v>
      </c>
      <c r="C8" s="364" t="s">
        <v>34</v>
      </c>
      <c r="D8" s="364" t="s">
        <v>34</v>
      </c>
      <c r="E8" s="364" t="s">
        <v>34</v>
      </c>
      <c r="F8" s="364" t="s">
        <v>34</v>
      </c>
      <c r="G8" s="364" t="s">
        <v>34</v>
      </c>
      <c r="H8" s="364" t="s">
        <v>34</v>
      </c>
      <c r="I8" s="364" t="s">
        <v>34</v>
      </c>
      <c r="J8" s="364">
        <v>1.0209999999999999</v>
      </c>
      <c r="K8" s="364">
        <v>1.0149999999999999</v>
      </c>
      <c r="L8" s="364">
        <v>1.012</v>
      </c>
      <c r="M8" s="364">
        <v>1.0089999999999999</v>
      </c>
      <c r="N8" s="364">
        <v>1.0089999999999999</v>
      </c>
      <c r="O8" s="364">
        <v>1.0069999999999999</v>
      </c>
      <c r="P8" s="364">
        <v>1.006</v>
      </c>
      <c r="Q8" s="364">
        <v>1.006</v>
      </c>
    </row>
    <row r="9" spans="1:17" ht="13.15" customHeight="1">
      <c r="A9" s="12">
        <f t="shared" si="0"/>
        <v>1999</v>
      </c>
      <c r="B9" s="364" t="s">
        <v>34</v>
      </c>
      <c r="C9" s="364" t="s">
        <v>34</v>
      </c>
      <c r="D9" s="364" t="s">
        <v>34</v>
      </c>
      <c r="E9" s="364" t="s">
        <v>34</v>
      </c>
      <c r="F9" s="364" t="s">
        <v>34</v>
      </c>
      <c r="G9" s="364" t="s">
        <v>34</v>
      </c>
      <c r="H9" s="364" t="s">
        <v>34</v>
      </c>
      <c r="I9" s="364">
        <v>1.0249999999999999</v>
      </c>
      <c r="J9" s="364">
        <v>1.018</v>
      </c>
      <c r="K9" s="364">
        <v>1.0149999999999999</v>
      </c>
      <c r="L9" s="364">
        <v>1.0109999999999999</v>
      </c>
      <c r="M9" s="364">
        <v>1.0089999999999999</v>
      </c>
      <c r="N9" s="364">
        <v>1.008</v>
      </c>
      <c r="O9" s="364">
        <v>1.0069999999999999</v>
      </c>
      <c r="P9" s="364">
        <v>1.006</v>
      </c>
      <c r="Q9" s="364">
        <v>1.004</v>
      </c>
    </row>
    <row r="10" spans="1:17" ht="13.15" customHeight="1">
      <c r="A10" s="12">
        <f t="shared" si="0"/>
        <v>2000</v>
      </c>
      <c r="B10" s="364" t="s">
        <v>34</v>
      </c>
      <c r="C10" s="364" t="s">
        <v>34</v>
      </c>
      <c r="D10" s="364" t="s">
        <v>34</v>
      </c>
      <c r="E10" s="364" t="s">
        <v>34</v>
      </c>
      <c r="F10" s="364" t="s">
        <v>34</v>
      </c>
      <c r="G10" s="364" t="s">
        <v>34</v>
      </c>
      <c r="H10" s="364">
        <v>1.0349999999999999</v>
      </c>
      <c r="I10" s="364">
        <v>1.0249999999999999</v>
      </c>
      <c r="J10" s="364">
        <v>1.016</v>
      </c>
      <c r="K10" s="364">
        <v>1.0129999999999999</v>
      </c>
      <c r="L10" s="364">
        <v>1.01</v>
      </c>
      <c r="M10" s="364">
        <v>1.0089999999999999</v>
      </c>
      <c r="N10" s="364">
        <v>1.008</v>
      </c>
      <c r="O10" s="364">
        <v>1.0069999999999999</v>
      </c>
      <c r="P10" s="364">
        <v>1.0049999999999999</v>
      </c>
      <c r="Q10" s="364">
        <v>1.004</v>
      </c>
    </row>
    <row r="11" spans="1:17" ht="13.15" customHeight="1">
      <c r="A11" s="12">
        <f t="shared" si="0"/>
        <v>2001</v>
      </c>
      <c r="B11" s="364" t="s">
        <v>34</v>
      </c>
      <c r="C11" s="364" t="s">
        <v>34</v>
      </c>
      <c r="D11" s="364" t="s">
        <v>34</v>
      </c>
      <c r="E11" s="364" t="s">
        <v>34</v>
      </c>
      <c r="F11" s="364" t="s">
        <v>34</v>
      </c>
      <c r="G11" s="364">
        <v>1.0509999999999999</v>
      </c>
      <c r="H11" s="364">
        <v>1.034</v>
      </c>
      <c r="I11" s="364">
        <v>1.024</v>
      </c>
      <c r="J11" s="364">
        <v>1.0169999999999999</v>
      </c>
      <c r="K11" s="364">
        <v>1.014</v>
      </c>
      <c r="L11" s="364">
        <v>1.012</v>
      </c>
      <c r="M11" s="364">
        <v>1.0109999999999999</v>
      </c>
      <c r="N11" s="364">
        <v>1.008</v>
      </c>
      <c r="O11" s="364">
        <v>1.0069999999999999</v>
      </c>
      <c r="P11" s="364">
        <v>1.006</v>
      </c>
      <c r="Q11" s="364">
        <v>1.0049999999999999</v>
      </c>
    </row>
    <row r="12" spans="1:17" ht="13.15" customHeight="1">
      <c r="A12" s="12">
        <f t="shared" si="0"/>
        <v>2002</v>
      </c>
      <c r="B12" s="364" t="s">
        <v>34</v>
      </c>
      <c r="C12" s="364" t="s">
        <v>34</v>
      </c>
      <c r="D12" s="364" t="s">
        <v>34</v>
      </c>
      <c r="E12" s="364" t="s">
        <v>34</v>
      </c>
      <c r="F12" s="364">
        <v>1.075</v>
      </c>
      <c r="G12" s="364">
        <v>1.046</v>
      </c>
      <c r="H12" s="364">
        <v>1.0309999999999999</v>
      </c>
      <c r="I12" s="364">
        <v>1.02</v>
      </c>
      <c r="J12" s="364">
        <v>1.018</v>
      </c>
      <c r="K12" s="364">
        <v>1.0149999999999999</v>
      </c>
      <c r="L12" s="364">
        <v>1.014</v>
      </c>
      <c r="M12" s="364">
        <v>1.008</v>
      </c>
      <c r="N12" s="364">
        <v>1.008</v>
      </c>
      <c r="O12" s="364">
        <v>1.006</v>
      </c>
      <c r="P12" s="364">
        <v>1.006</v>
      </c>
      <c r="Q12" s="364">
        <v>1.0049999999999999</v>
      </c>
    </row>
    <row r="13" spans="1:17" ht="13.15" customHeight="1">
      <c r="A13" s="12">
        <f t="shared" si="0"/>
        <v>2003</v>
      </c>
      <c r="B13" s="364" t="s">
        <v>34</v>
      </c>
      <c r="C13" s="364" t="s">
        <v>34</v>
      </c>
      <c r="D13" s="364" t="s">
        <v>34</v>
      </c>
      <c r="E13" s="364">
        <v>1.1279999999999999</v>
      </c>
      <c r="F13" s="364">
        <v>1.0720000000000001</v>
      </c>
      <c r="G13" s="364">
        <v>1.0429999999999999</v>
      </c>
      <c r="H13" s="364">
        <v>1.03</v>
      </c>
      <c r="I13" s="364">
        <v>1.026</v>
      </c>
      <c r="J13" s="364">
        <v>1.0229999999999999</v>
      </c>
      <c r="K13" s="364">
        <v>1.0209999999999999</v>
      </c>
      <c r="L13" s="364">
        <v>1.0149999999999999</v>
      </c>
      <c r="M13" s="364">
        <v>1.012</v>
      </c>
      <c r="N13" s="364">
        <v>1.0089999999999999</v>
      </c>
      <c r="O13" s="364">
        <v>1.008</v>
      </c>
      <c r="P13" s="364">
        <v>1.0069999999999999</v>
      </c>
      <c r="Q13" s="364">
        <v>1.0069999999999999</v>
      </c>
    </row>
    <row r="14" spans="1:17" ht="13.15" customHeight="1">
      <c r="A14" s="12">
        <f t="shared" si="0"/>
        <v>2004</v>
      </c>
      <c r="B14" s="364" t="s">
        <v>34</v>
      </c>
      <c r="C14" s="364" t="s">
        <v>34</v>
      </c>
      <c r="D14" s="364">
        <v>1.236</v>
      </c>
      <c r="E14" s="364">
        <v>1.1160000000000001</v>
      </c>
      <c r="F14" s="364">
        <v>1.073</v>
      </c>
      <c r="G14" s="364">
        <v>1.0489999999999999</v>
      </c>
      <c r="H14" s="364">
        <v>1.0409999999999999</v>
      </c>
      <c r="I14" s="364">
        <v>1.0349999999999999</v>
      </c>
      <c r="J14" s="364">
        <v>1.03</v>
      </c>
      <c r="K14" s="364">
        <v>1.02</v>
      </c>
      <c r="L14" s="364">
        <v>1.0149999999999999</v>
      </c>
      <c r="M14" s="364">
        <v>1.0109999999999999</v>
      </c>
      <c r="N14" s="364">
        <v>1.0089999999999999</v>
      </c>
      <c r="O14" s="364">
        <v>1.008</v>
      </c>
      <c r="P14" s="364">
        <v>1.0089999999999999</v>
      </c>
      <c r="Q14" s="364">
        <v>1.006</v>
      </c>
    </row>
    <row r="15" spans="1:17" ht="13.15" customHeight="1">
      <c r="A15" s="12">
        <f t="shared" si="0"/>
        <v>2005</v>
      </c>
      <c r="B15" s="364" t="s">
        <v>34</v>
      </c>
      <c r="C15" s="364">
        <v>1.512</v>
      </c>
      <c r="D15" s="364">
        <v>1.2350000000000001</v>
      </c>
      <c r="E15" s="364">
        <v>1.121</v>
      </c>
      <c r="F15" s="364">
        <v>1.079</v>
      </c>
      <c r="G15" s="364">
        <v>1.06</v>
      </c>
      <c r="H15" s="364">
        <v>1.0469999999999999</v>
      </c>
      <c r="I15" s="364">
        <v>1.042</v>
      </c>
      <c r="J15" s="364">
        <v>1.028</v>
      </c>
      <c r="K15" s="364">
        <v>1.02</v>
      </c>
      <c r="L15" s="364">
        <v>1.0149999999999999</v>
      </c>
      <c r="M15" s="364">
        <v>1.0129999999999999</v>
      </c>
      <c r="N15" s="364">
        <v>1.01</v>
      </c>
      <c r="O15" s="364">
        <v>1.01</v>
      </c>
      <c r="P15" s="364">
        <v>1.01</v>
      </c>
      <c r="Q15" s="364" t="s">
        <v>34</v>
      </c>
    </row>
    <row r="16" spans="1:17" ht="13.15" customHeight="1">
      <c r="A16" s="12">
        <f t="shared" si="0"/>
        <v>2006</v>
      </c>
      <c r="B16" s="364">
        <v>2.8660000000000001</v>
      </c>
      <c r="C16" s="364">
        <v>1.5389999999999999</v>
      </c>
      <c r="D16" s="364">
        <v>1.2290000000000001</v>
      </c>
      <c r="E16" s="364">
        <v>1.135</v>
      </c>
      <c r="F16" s="364">
        <v>1.0900000000000001</v>
      </c>
      <c r="G16" s="364">
        <v>1.0680000000000001</v>
      </c>
      <c r="H16" s="364">
        <v>1.05</v>
      </c>
      <c r="I16" s="364">
        <v>1.0349999999999999</v>
      </c>
      <c r="J16" s="364">
        <v>1.026</v>
      </c>
      <c r="K16" s="364">
        <v>1.018</v>
      </c>
      <c r="L16" s="364">
        <v>1.016</v>
      </c>
      <c r="M16" s="364">
        <v>1.012</v>
      </c>
      <c r="N16" s="364">
        <v>1.0109999999999999</v>
      </c>
      <c r="O16" s="364">
        <v>1.0089999999999999</v>
      </c>
      <c r="P16" s="364" t="s">
        <v>34</v>
      </c>
      <c r="Q16" s="364" t="s">
        <v>34</v>
      </c>
    </row>
    <row r="17" spans="1:17" ht="13.15" customHeight="1">
      <c r="A17" s="12">
        <f t="shared" si="0"/>
        <v>2007</v>
      </c>
      <c r="B17" s="364">
        <v>2.9049999999999998</v>
      </c>
      <c r="C17" s="364">
        <v>1.5469999999999999</v>
      </c>
      <c r="D17" s="364">
        <v>1.246</v>
      </c>
      <c r="E17" s="364">
        <v>1.1399999999999999</v>
      </c>
      <c r="F17" s="364">
        <v>1.0920000000000001</v>
      </c>
      <c r="G17" s="364">
        <v>1.0660000000000001</v>
      </c>
      <c r="H17" s="364">
        <v>1.046</v>
      </c>
      <c r="I17" s="364">
        <v>1.0329999999999999</v>
      </c>
      <c r="J17" s="364">
        <v>1.0269999999999999</v>
      </c>
      <c r="K17" s="364">
        <v>1.02</v>
      </c>
      <c r="L17" s="364">
        <v>1.016</v>
      </c>
      <c r="M17" s="364">
        <v>1.0129999999999999</v>
      </c>
      <c r="N17" s="364">
        <v>1.0129999999999999</v>
      </c>
      <c r="O17" s="364" t="s">
        <v>34</v>
      </c>
      <c r="P17" s="364" t="s">
        <v>34</v>
      </c>
      <c r="Q17" s="364" t="s">
        <v>34</v>
      </c>
    </row>
    <row r="18" spans="1:17" ht="13.15" customHeight="1">
      <c r="A18" s="12">
        <f t="shared" si="0"/>
        <v>2008</v>
      </c>
      <c r="B18" s="364">
        <v>2.927</v>
      </c>
      <c r="C18" s="364">
        <v>1.577</v>
      </c>
      <c r="D18" s="364">
        <v>1.2709999999999999</v>
      </c>
      <c r="E18" s="364">
        <v>1.1499999999999999</v>
      </c>
      <c r="F18" s="364">
        <v>1.0920000000000001</v>
      </c>
      <c r="G18" s="364">
        <v>1.06</v>
      </c>
      <c r="H18" s="364">
        <v>1.0409999999999999</v>
      </c>
      <c r="I18" s="364">
        <v>1.0269999999999999</v>
      </c>
      <c r="J18" s="364">
        <v>1.0229999999999999</v>
      </c>
      <c r="K18" s="364">
        <v>1.018</v>
      </c>
      <c r="L18" s="364">
        <v>1.0149999999999999</v>
      </c>
      <c r="M18" s="364">
        <v>1.01</v>
      </c>
      <c r="N18" s="364" t="s">
        <v>34</v>
      </c>
      <c r="O18" s="364" t="s">
        <v>34</v>
      </c>
      <c r="P18" s="364" t="s">
        <v>34</v>
      </c>
      <c r="Q18" s="364" t="s">
        <v>34</v>
      </c>
    </row>
    <row r="19" spans="1:17" ht="13.15" customHeight="1">
      <c r="A19" s="12">
        <f t="shared" si="0"/>
        <v>2009</v>
      </c>
      <c r="B19" s="364">
        <v>3.069</v>
      </c>
      <c r="C19" s="364">
        <v>1.6160000000000001</v>
      </c>
      <c r="D19" s="364">
        <v>1.28</v>
      </c>
      <c r="E19" s="364">
        <v>1.1559999999999999</v>
      </c>
      <c r="F19" s="364">
        <v>1.0920000000000001</v>
      </c>
      <c r="G19" s="364">
        <v>1.0609999999999999</v>
      </c>
      <c r="H19" s="364">
        <v>1.0429999999999999</v>
      </c>
      <c r="I19" s="364">
        <v>1.0309999999999999</v>
      </c>
      <c r="J19" s="364">
        <v>1.0229999999999999</v>
      </c>
      <c r="K19" s="364">
        <v>1.0189999999999999</v>
      </c>
      <c r="L19" s="364">
        <v>1.0109999999999999</v>
      </c>
      <c r="M19" s="364" t="s">
        <v>34</v>
      </c>
      <c r="N19" s="364" t="s">
        <v>34</v>
      </c>
      <c r="O19" s="364" t="s">
        <v>34</v>
      </c>
      <c r="P19" s="364" t="s">
        <v>34</v>
      </c>
      <c r="Q19" s="364" t="s">
        <v>34</v>
      </c>
    </row>
    <row r="20" spans="1:17" ht="13.15" customHeight="1">
      <c r="A20" s="12">
        <f t="shared" si="0"/>
        <v>2010</v>
      </c>
      <c r="B20" s="364">
        <v>3.157</v>
      </c>
      <c r="C20" s="364">
        <v>1.6279999999999999</v>
      </c>
      <c r="D20" s="364">
        <v>1.2809999999999999</v>
      </c>
      <c r="E20" s="364">
        <v>1.147</v>
      </c>
      <c r="F20" s="364">
        <v>1.091</v>
      </c>
      <c r="G20" s="364">
        <v>1.06</v>
      </c>
      <c r="H20" s="364">
        <v>1.038</v>
      </c>
      <c r="I20" s="364">
        <v>1.0269999999999999</v>
      </c>
      <c r="J20" s="364">
        <v>1.0209999999999999</v>
      </c>
      <c r="K20" s="364">
        <v>1.0129999999999999</v>
      </c>
      <c r="L20" s="364" t="s">
        <v>34</v>
      </c>
      <c r="M20" s="364" t="s">
        <v>34</v>
      </c>
      <c r="N20" s="364" t="s">
        <v>34</v>
      </c>
      <c r="O20" s="364" t="s">
        <v>34</v>
      </c>
      <c r="P20" s="364" t="s">
        <v>34</v>
      </c>
      <c r="Q20" s="364" t="s">
        <v>34</v>
      </c>
    </row>
    <row r="21" spans="1:17" ht="13.15" customHeight="1">
      <c r="A21" s="12">
        <f t="shared" si="0"/>
        <v>2011</v>
      </c>
      <c r="B21" s="364">
        <v>3.2080000000000002</v>
      </c>
      <c r="C21" s="364">
        <v>1.613</v>
      </c>
      <c r="D21" s="364">
        <v>1.266</v>
      </c>
      <c r="E21" s="364">
        <v>1.1439999999999999</v>
      </c>
      <c r="F21" s="364">
        <v>1.087</v>
      </c>
      <c r="G21" s="364">
        <v>1.056</v>
      </c>
      <c r="H21" s="364">
        <v>1.0409999999999999</v>
      </c>
      <c r="I21" s="364">
        <v>1.026</v>
      </c>
      <c r="J21" s="364">
        <v>1.016</v>
      </c>
      <c r="K21" s="364" t="s">
        <v>34</v>
      </c>
      <c r="L21" s="364" t="s">
        <v>34</v>
      </c>
      <c r="M21" s="364" t="s">
        <v>34</v>
      </c>
      <c r="N21" s="364" t="s">
        <v>34</v>
      </c>
      <c r="O21" s="364" t="s">
        <v>34</v>
      </c>
      <c r="P21" s="364" t="s">
        <v>34</v>
      </c>
      <c r="Q21" s="364" t="s">
        <v>34</v>
      </c>
    </row>
    <row r="22" spans="1:17" ht="13.15" customHeight="1">
      <c r="A22" s="12">
        <f t="shared" si="0"/>
        <v>2012</v>
      </c>
      <c r="B22" s="364">
        <v>3.137</v>
      </c>
      <c r="C22" s="364">
        <v>1.597</v>
      </c>
      <c r="D22" s="364">
        <v>1.262</v>
      </c>
      <c r="E22" s="364">
        <v>1.137</v>
      </c>
      <c r="F22" s="364">
        <v>1.087</v>
      </c>
      <c r="G22" s="364">
        <v>1.0509999999999999</v>
      </c>
      <c r="H22" s="364">
        <v>1.034</v>
      </c>
      <c r="I22" s="364">
        <v>1.0229999999999999</v>
      </c>
      <c r="J22" s="364" t="s">
        <v>34</v>
      </c>
      <c r="K22" s="364" t="s">
        <v>34</v>
      </c>
      <c r="L22" s="364" t="s">
        <v>34</v>
      </c>
      <c r="M22" s="364" t="s">
        <v>34</v>
      </c>
      <c r="N22" s="364" t="s">
        <v>34</v>
      </c>
      <c r="O22" s="364" t="s">
        <v>34</v>
      </c>
      <c r="P22" s="364" t="s">
        <v>34</v>
      </c>
      <c r="Q22" s="364" t="s">
        <v>34</v>
      </c>
    </row>
    <row r="23" spans="1:17" ht="13.15" customHeight="1">
      <c r="A23" s="12">
        <f t="shared" si="0"/>
        <v>2013</v>
      </c>
      <c r="B23" s="364">
        <v>3.169</v>
      </c>
      <c r="C23" s="364">
        <v>1.6060000000000001</v>
      </c>
      <c r="D23" s="364">
        <v>1.26</v>
      </c>
      <c r="E23" s="364">
        <v>1.129</v>
      </c>
      <c r="F23" s="364">
        <v>1.0720000000000001</v>
      </c>
      <c r="G23" s="364">
        <v>1.044</v>
      </c>
      <c r="H23" s="364">
        <v>1.028</v>
      </c>
      <c r="I23" s="364" t="s">
        <v>34</v>
      </c>
      <c r="J23" s="364" t="s">
        <v>34</v>
      </c>
      <c r="K23" s="364" t="s">
        <v>34</v>
      </c>
      <c r="L23" s="364" t="s">
        <v>34</v>
      </c>
      <c r="M23" s="364" t="s">
        <v>34</v>
      </c>
      <c r="N23" s="364" t="s">
        <v>34</v>
      </c>
      <c r="O23" s="364" t="s">
        <v>34</v>
      </c>
      <c r="P23" s="364" t="s">
        <v>34</v>
      </c>
      <c r="Q23" s="364" t="s">
        <v>34</v>
      </c>
    </row>
    <row r="24" spans="1:17" ht="13.15" customHeight="1">
      <c r="A24" s="12">
        <f t="shared" si="0"/>
        <v>2014</v>
      </c>
      <c r="B24" s="364">
        <v>3.2290000000000001</v>
      </c>
      <c r="C24" s="364">
        <v>1.635</v>
      </c>
      <c r="D24" s="364">
        <v>1.2569999999999999</v>
      </c>
      <c r="E24" s="364">
        <v>1.129</v>
      </c>
      <c r="F24" s="364">
        <v>1.071</v>
      </c>
      <c r="G24" s="364">
        <v>1.0389999999999999</v>
      </c>
      <c r="H24" s="364" t="s">
        <v>34</v>
      </c>
      <c r="I24" s="364" t="s">
        <v>34</v>
      </c>
      <c r="J24" s="364" t="s">
        <v>34</v>
      </c>
      <c r="K24" s="364" t="s">
        <v>34</v>
      </c>
      <c r="L24" s="364" t="s">
        <v>34</v>
      </c>
      <c r="M24" s="364" t="s">
        <v>34</v>
      </c>
      <c r="N24" s="364" t="s">
        <v>34</v>
      </c>
      <c r="O24" s="364" t="s">
        <v>34</v>
      </c>
      <c r="P24" s="364" t="s">
        <v>34</v>
      </c>
      <c r="Q24" s="364" t="s">
        <v>34</v>
      </c>
    </row>
    <row r="25" spans="1:17" ht="13.15" customHeight="1">
      <c r="A25" s="12">
        <f t="shared" si="0"/>
        <v>2015</v>
      </c>
      <c r="B25" s="364">
        <v>3.278</v>
      </c>
      <c r="C25" s="364">
        <v>1.6180000000000001</v>
      </c>
      <c r="D25" s="364">
        <v>1.244</v>
      </c>
      <c r="E25" s="364">
        <v>1.119</v>
      </c>
      <c r="F25" s="364">
        <v>1.0580000000000001</v>
      </c>
      <c r="G25" s="364" t="s">
        <v>34</v>
      </c>
      <c r="H25" s="364" t="s">
        <v>34</v>
      </c>
      <c r="I25" s="364" t="s">
        <v>34</v>
      </c>
      <c r="J25" s="364" t="s">
        <v>34</v>
      </c>
      <c r="K25" s="364" t="s">
        <v>34</v>
      </c>
      <c r="L25" s="364" t="s">
        <v>34</v>
      </c>
      <c r="M25" s="364" t="s">
        <v>34</v>
      </c>
      <c r="N25" s="364" t="s">
        <v>34</v>
      </c>
      <c r="O25" s="364" t="s">
        <v>34</v>
      </c>
      <c r="P25" s="364" t="s">
        <v>34</v>
      </c>
      <c r="Q25" s="364" t="s">
        <v>34</v>
      </c>
    </row>
    <row r="26" spans="1:17" ht="13.15" customHeight="1">
      <c r="A26" s="12">
        <f t="shared" si="0"/>
        <v>2016</v>
      </c>
      <c r="B26" s="364">
        <v>3.2349999999999999</v>
      </c>
      <c r="C26" s="364">
        <v>1.5860000000000001</v>
      </c>
      <c r="D26" s="364">
        <v>1.23</v>
      </c>
      <c r="E26" s="364">
        <v>1.103</v>
      </c>
      <c r="F26" s="364" t="s">
        <v>34</v>
      </c>
      <c r="G26" s="364" t="s">
        <v>34</v>
      </c>
      <c r="H26" s="364" t="s">
        <v>34</v>
      </c>
      <c r="I26" s="364" t="s">
        <v>34</v>
      </c>
      <c r="J26" s="364" t="s">
        <v>34</v>
      </c>
      <c r="K26" s="364" t="s">
        <v>34</v>
      </c>
      <c r="L26" s="364" t="s">
        <v>34</v>
      </c>
      <c r="M26" s="364" t="s">
        <v>34</v>
      </c>
      <c r="N26" s="364" t="s">
        <v>34</v>
      </c>
      <c r="O26" s="364" t="s">
        <v>34</v>
      </c>
      <c r="P26" s="364" t="s">
        <v>34</v>
      </c>
      <c r="Q26" s="364" t="s">
        <v>34</v>
      </c>
    </row>
    <row r="27" spans="1:17" ht="13.15" customHeight="1">
      <c r="A27" s="12">
        <f t="shared" si="0"/>
        <v>2017</v>
      </c>
      <c r="B27" s="364">
        <v>3.1850000000000001</v>
      </c>
      <c r="C27" s="364">
        <v>1.569</v>
      </c>
      <c r="D27" s="364">
        <v>1.21</v>
      </c>
      <c r="E27" s="364" t="s">
        <v>34</v>
      </c>
      <c r="F27" s="364" t="s">
        <v>34</v>
      </c>
      <c r="G27" s="364" t="s">
        <v>34</v>
      </c>
      <c r="H27" s="364" t="s">
        <v>34</v>
      </c>
      <c r="I27" s="364" t="s">
        <v>34</v>
      </c>
      <c r="J27" s="364" t="s">
        <v>34</v>
      </c>
      <c r="K27" s="364" t="s">
        <v>34</v>
      </c>
      <c r="L27" s="364" t="s">
        <v>34</v>
      </c>
      <c r="M27" s="364" t="s">
        <v>34</v>
      </c>
      <c r="N27" s="364" t="s">
        <v>34</v>
      </c>
      <c r="O27" s="364" t="s">
        <v>34</v>
      </c>
      <c r="P27" s="364" t="s">
        <v>34</v>
      </c>
      <c r="Q27" s="364" t="s">
        <v>34</v>
      </c>
    </row>
    <row r="28" spans="1:17" ht="13.15" customHeight="1">
      <c r="A28" s="12">
        <f t="shared" si="0"/>
        <v>2018</v>
      </c>
      <c r="B28" s="364">
        <v>3.11</v>
      </c>
      <c r="C28" s="364">
        <v>1.526</v>
      </c>
      <c r="D28" s="364" t="s">
        <v>34</v>
      </c>
      <c r="E28" s="364" t="s">
        <v>34</v>
      </c>
      <c r="F28" s="364" t="s">
        <v>34</v>
      </c>
      <c r="G28" s="364" t="s">
        <v>34</v>
      </c>
      <c r="H28" s="364" t="s">
        <v>34</v>
      </c>
      <c r="I28" s="364" t="s">
        <v>34</v>
      </c>
      <c r="J28" s="364" t="s">
        <v>34</v>
      </c>
      <c r="K28" s="364" t="s">
        <v>34</v>
      </c>
      <c r="L28" s="364" t="s">
        <v>34</v>
      </c>
      <c r="M28" s="364" t="s">
        <v>34</v>
      </c>
      <c r="N28" s="364" t="s">
        <v>34</v>
      </c>
      <c r="O28" s="364" t="s">
        <v>34</v>
      </c>
      <c r="P28" s="364" t="s">
        <v>34</v>
      </c>
      <c r="Q28" s="364" t="s">
        <v>34</v>
      </c>
    </row>
    <row r="29" spans="1:17" ht="13.15" customHeight="1">
      <c r="A29" s="12">
        <f>'Exhibit 2.2.1'!A29</f>
        <v>2019</v>
      </c>
      <c r="B29" s="364">
        <v>3.0630000000000002</v>
      </c>
      <c r="C29" s="364" t="s">
        <v>34</v>
      </c>
      <c r="D29" s="364" t="s">
        <v>34</v>
      </c>
      <c r="E29" s="364" t="s">
        <v>34</v>
      </c>
      <c r="F29" s="364" t="s">
        <v>34</v>
      </c>
      <c r="G29" s="364" t="s">
        <v>34</v>
      </c>
      <c r="H29" s="364" t="s">
        <v>34</v>
      </c>
      <c r="I29" s="364" t="s">
        <v>34</v>
      </c>
      <c r="J29" s="364" t="s">
        <v>34</v>
      </c>
      <c r="K29" s="364" t="s">
        <v>34</v>
      </c>
      <c r="L29" s="364" t="s">
        <v>34</v>
      </c>
      <c r="M29" s="364" t="s">
        <v>34</v>
      </c>
      <c r="N29" s="364" t="s">
        <v>34</v>
      </c>
      <c r="O29" s="364" t="s">
        <v>34</v>
      </c>
      <c r="P29" s="364" t="s">
        <v>34</v>
      </c>
      <c r="Q29" s="364" t="s">
        <v>34</v>
      </c>
    </row>
    <row r="30" spans="1:17" ht="13.15" customHeight="1">
      <c r="A30" s="120"/>
      <c r="B30" s="159"/>
      <c r="C30" s="120"/>
      <c r="D30" s="120"/>
      <c r="E30" s="120"/>
      <c r="F30" s="120"/>
      <c r="G30" s="120"/>
      <c r="H30" s="120"/>
      <c r="I30" s="120"/>
      <c r="J30" s="120"/>
      <c r="K30" s="120"/>
      <c r="L30" s="120"/>
      <c r="M30" s="120"/>
      <c r="N30" s="120"/>
      <c r="O30" s="120"/>
      <c r="P30" s="120"/>
      <c r="Q30" s="205"/>
    </row>
    <row r="31" spans="1:17" ht="13.15" customHeight="1">
      <c r="A31" s="12" t="s">
        <v>20</v>
      </c>
      <c r="B31" s="16">
        <f ca="1">OFFSET(B$30,-COUNTA($B$4:B$4),0)</f>
        <v>3.0630000000000002</v>
      </c>
      <c r="C31" s="16">
        <f ca="1">OFFSET(C$30,-COUNTA($B$4:C$4),0)</f>
        <v>1.526</v>
      </c>
      <c r="D31" s="16">
        <f ca="1">OFFSET(D$30,-COUNTA($B$4:D$4),0)</f>
        <v>1.21</v>
      </c>
      <c r="E31" s="16">
        <f ca="1">OFFSET(E$30,-COUNTA($B$4:E$4),0)</f>
        <v>1.103</v>
      </c>
      <c r="F31" s="16">
        <f ca="1">OFFSET(F$30,-COUNTA($B$4:F$4),0)</f>
        <v>1.0580000000000001</v>
      </c>
      <c r="G31" s="16">
        <f ca="1">OFFSET(G$30,-COUNTA($B$4:G$4),0)</f>
        <v>1.0389999999999999</v>
      </c>
      <c r="H31" s="16">
        <f ca="1">OFFSET(H$30,-COUNTA($B$4:H$4),0)</f>
        <v>1.028</v>
      </c>
      <c r="I31" s="16">
        <f ca="1">OFFSET(I$30,-COUNTA($B$4:I$4),0)</f>
        <v>1.0229999999999999</v>
      </c>
      <c r="J31" s="16">
        <f ca="1">AVERAGE(OFFSET(J$28:J$30,-COUNTA($B$4:J$4),0))</f>
        <v>1.0199999999999998</v>
      </c>
      <c r="K31" s="16">
        <f ca="1">AVERAGE(OFFSET(K$28:K$30,-COUNTA($B$4:K$4),0))</f>
        <v>1.0166666666666666</v>
      </c>
      <c r="L31" s="16">
        <f ca="1">AVERAGE(OFFSET(L$28:L$30,-COUNTA($B$4:L$4),0))</f>
        <v>1.014</v>
      </c>
      <c r="M31" s="16">
        <f ca="1">AVERAGE(OFFSET(M$28:M$30,-COUNTA($B$4:M$4),0))</f>
        <v>1.0116666666666667</v>
      </c>
      <c r="N31" s="16">
        <f ca="1">AVERAGE(OFFSET(N$28:N$30,-COUNTA($B$4:N$4),0))</f>
        <v>1.0113333333333332</v>
      </c>
      <c r="O31" s="16">
        <f ca="1">AVERAGE(OFFSET(O$28:O$30,-COUNTA($B$4:O$4),0))</f>
        <v>1.0089999999999999</v>
      </c>
      <c r="P31" s="16">
        <f ca="1">AVERAGE(OFFSET(P$28:P$30,-COUNTA($B$4:P$4),0))</f>
        <v>1.0086666666666666</v>
      </c>
      <c r="Q31" s="16">
        <f ca="1">AVERAGE(OFFSET(Q$28:Q$30,-COUNTA($B$4:Q$4),0))</f>
        <v>1.006</v>
      </c>
    </row>
    <row r="32" spans="1:17" ht="13.15" customHeight="1">
      <c r="A32" s="12" t="s">
        <v>21</v>
      </c>
      <c r="B32" s="13">
        <f t="shared" ref="B32:O32" ca="1" si="1">C32*B31</f>
        <v>8.2919929366615879</v>
      </c>
      <c r="C32" s="13">
        <f t="shared" ca="1" si="1"/>
        <v>2.7071475470654871</v>
      </c>
      <c r="D32" s="13">
        <f t="shared" ca="1" si="1"/>
        <v>1.7740154305802667</v>
      </c>
      <c r="E32" s="13">
        <f t="shared" ca="1" si="1"/>
        <v>1.4661284550250138</v>
      </c>
      <c r="F32" s="13">
        <f t="shared" ca="1" si="1"/>
        <v>1.32921890754761</v>
      </c>
      <c r="G32" s="13">
        <f t="shared" ca="1" si="1"/>
        <v>1.2563505742415972</v>
      </c>
      <c r="H32" s="13">
        <f t="shared" ca="1" si="1"/>
        <v>1.2091920830044247</v>
      </c>
      <c r="I32" s="13">
        <f t="shared" ca="1" si="1"/>
        <v>1.1762568900821251</v>
      </c>
      <c r="J32" s="13">
        <f t="shared" ca="1" si="1"/>
        <v>1.149811231751833</v>
      </c>
      <c r="K32" s="13">
        <f t="shared" ca="1" si="1"/>
        <v>1.1272659134821894</v>
      </c>
      <c r="L32" s="13">
        <f t="shared" ca="1" si="1"/>
        <v>1.108786144408711</v>
      </c>
      <c r="M32" s="13">
        <f t="shared" ca="1" si="1"/>
        <v>1.093477459969143</v>
      </c>
      <c r="N32" s="13">
        <f t="shared" ca="1" si="1"/>
        <v>1.0808673409909155</v>
      </c>
      <c r="O32" s="13">
        <f t="shared" ca="1" si="1"/>
        <v>1.0687547867411822</v>
      </c>
      <c r="P32" s="13">
        <f ca="1">Q32*P31</f>
        <v>1.0592217906255523</v>
      </c>
      <c r="Q32" s="13">
        <f ca="1">'Exhibit 2.3.2'!B29*'Exhibit 2.3.1'!Q31</f>
        <v>1.0501207441760267</v>
      </c>
    </row>
    <row r="33" spans="1:17">
      <c r="A33" s="120"/>
      <c r="B33" s="159"/>
      <c r="C33" s="120"/>
      <c r="D33" s="120"/>
      <c r="E33" s="120"/>
      <c r="F33" s="120"/>
      <c r="G33" s="120"/>
      <c r="H33" s="120"/>
      <c r="I33" s="120"/>
      <c r="J33" s="120"/>
      <c r="K33" s="120"/>
      <c r="L33" s="120"/>
      <c r="M33" s="120"/>
      <c r="N33" s="120"/>
      <c r="O33" s="120"/>
      <c r="P33" s="120"/>
      <c r="Q33" s="120"/>
    </row>
    <row r="34" spans="1:17" ht="12.75" customHeight="1">
      <c r="A34" s="9" t="s">
        <v>22</v>
      </c>
      <c r="B34" s="152" t="s">
        <v>509</v>
      </c>
      <c r="C34" s="249"/>
      <c r="D34" s="249"/>
      <c r="E34" s="249"/>
      <c r="F34" s="249"/>
      <c r="G34" s="249"/>
      <c r="H34" s="249"/>
      <c r="I34" s="249"/>
      <c r="J34" s="249"/>
      <c r="K34" s="249"/>
      <c r="L34" s="249"/>
      <c r="M34" s="249"/>
      <c r="N34" s="249"/>
      <c r="O34" s="249"/>
      <c r="P34" s="249"/>
    </row>
  </sheetData>
  <pageMargins left="0.7" right="0.7" top="0.75" bottom="0.75" header="0.3" footer="0.3"/>
  <pageSetup scale="81" orientation="landscape" blackAndWhite="1" r:id="rId1"/>
  <headerFooter scaleWithDoc="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pageSetUpPr fitToPage="1"/>
  </sheetPr>
  <dimension ref="A1:U32"/>
  <sheetViews>
    <sheetView zoomScaleNormal="100" zoomScaleSheetLayoutView="100" workbookViewId="0"/>
  </sheetViews>
  <sheetFormatPr defaultColWidth="9.1796875" defaultRowHeight="12.5"/>
  <cols>
    <col min="1" max="1" width="12.7265625" style="108" bestFit="1" customWidth="1"/>
    <col min="2" max="20" width="7.7265625" style="108" customWidth="1"/>
    <col min="21" max="21" width="13.7265625" style="108" customWidth="1"/>
    <col min="22" max="16384" width="9.1796875" style="108"/>
  </cols>
  <sheetData>
    <row r="1" spans="1:21" ht="14.5" customHeight="1">
      <c r="A1" s="240" t="s">
        <v>33</v>
      </c>
      <c r="B1" s="240"/>
      <c r="C1" s="240"/>
      <c r="D1" s="240"/>
      <c r="E1" s="240"/>
      <c r="F1" s="240"/>
      <c r="G1" s="240"/>
      <c r="H1" s="240"/>
      <c r="I1" s="240"/>
      <c r="J1" s="240"/>
      <c r="K1" s="240"/>
      <c r="L1" s="240"/>
      <c r="M1" s="240"/>
      <c r="N1" s="240"/>
      <c r="O1" s="240"/>
      <c r="P1" s="240"/>
      <c r="Q1" s="240"/>
      <c r="R1" s="240"/>
      <c r="S1" s="240"/>
      <c r="T1" s="240"/>
      <c r="U1" s="240"/>
    </row>
    <row r="2" spans="1:21" ht="13">
      <c r="A2" s="220"/>
      <c r="B2" s="218"/>
      <c r="C2" s="219"/>
      <c r="D2" s="219"/>
      <c r="E2" s="219"/>
      <c r="F2" s="219"/>
      <c r="G2" s="219"/>
      <c r="H2" s="219"/>
      <c r="I2" s="219"/>
      <c r="J2" s="219"/>
      <c r="K2" s="219"/>
      <c r="L2" s="219"/>
      <c r="M2" s="219"/>
      <c r="N2" s="219"/>
      <c r="O2" s="219"/>
      <c r="P2" s="219"/>
      <c r="Q2" s="220"/>
      <c r="R2" s="234"/>
      <c r="S2" s="308"/>
      <c r="T2" s="286"/>
    </row>
    <row r="3" spans="1:21">
      <c r="A3" s="220"/>
      <c r="B3" s="248" t="s">
        <v>18</v>
      </c>
      <c r="C3" s="248"/>
      <c r="D3" s="248"/>
      <c r="E3" s="248"/>
      <c r="F3" s="248"/>
      <c r="G3" s="248"/>
      <c r="H3" s="248"/>
      <c r="I3" s="248"/>
      <c r="J3" s="248"/>
      <c r="K3" s="248"/>
      <c r="L3" s="248"/>
      <c r="M3" s="248"/>
      <c r="N3" s="248"/>
      <c r="O3" s="248"/>
      <c r="P3" s="248"/>
      <c r="Q3" s="248"/>
      <c r="R3" s="248"/>
      <c r="S3" s="248"/>
      <c r="T3" s="248"/>
      <c r="U3" s="248"/>
    </row>
    <row r="4" spans="1:21">
      <c r="A4" s="11" t="s">
        <v>19</v>
      </c>
      <c r="B4" s="11" t="s">
        <v>487</v>
      </c>
      <c r="C4" s="11" t="s">
        <v>488</v>
      </c>
      <c r="D4" s="11" t="s">
        <v>489</v>
      </c>
      <c r="E4" s="11" t="s">
        <v>490</v>
      </c>
      <c r="F4" s="11" t="s">
        <v>491</v>
      </c>
      <c r="G4" s="11" t="s">
        <v>492</v>
      </c>
      <c r="H4" s="11" t="s">
        <v>493</v>
      </c>
      <c r="I4" s="11" t="s">
        <v>494</v>
      </c>
      <c r="J4" s="11" t="s">
        <v>495</v>
      </c>
      <c r="K4" s="11" t="s">
        <v>496</v>
      </c>
      <c r="L4" s="11" t="s">
        <v>497</v>
      </c>
      <c r="M4" s="11" t="s">
        <v>498</v>
      </c>
      <c r="N4" s="11" t="s">
        <v>499</v>
      </c>
      <c r="O4" s="11" t="s">
        <v>500</v>
      </c>
      <c r="P4" s="11" t="s">
        <v>501</v>
      </c>
      <c r="Q4" s="11" t="s">
        <v>502</v>
      </c>
      <c r="R4" s="11" t="s">
        <v>503</v>
      </c>
      <c r="S4" s="11" t="s">
        <v>504</v>
      </c>
      <c r="T4" s="19" t="s">
        <v>505</v>
      </c>
      <c r="U4" s="19" t="s">
        <v>510</v>
      </c>
    </row>
    <row r="5" spans="1:21">
      <c r="A5" s="1">
        <f t="shared" ref="A5:A24" si="0">+A6-1</f>
        <v>1983</v>
      </c>
      <c r="B5" s="364" t="s">
        <v>34</v>
      </c>
      <c r="C5" s="364" t="s">
        <v>34</v>
      </c>
      <c r="D5" s="364" t="s">
        <v>34</v>
      </c>
      <c r="E5" s="364" t="s">
        <v>34</v>
      </c>
      <c r="F5" s="364" t="s">
        <v>34</v>
      </c>
      <c r="G5" s="364" t="s">
        <v>34</v>
      </c>
      <c r="H5" s="364" t="s">
        <v>34</v>
      </c>
      <c r="I5" s="364">
        <v>1.002</v>
      </c>
      <c r="J5" s="364">
        <v>1.0009999999999999</v>
      </c>
      <c r="K5" s="364">
        <v>1.0009999999999999</v>
      </c>
      <c r="L5" s="364">
        <v>1.0009999999999999</v>
      </c>
      <c r="M5" s="364">
        <v>1.0009999999999999</v>
      </c>
      <c r="N5" s="364">
        <v>1.0009999999999999</v>
      </c>
      <c r="O5" s="364">
        <v>1.0009999999999999</v>
      </c>
      <c r="P5" s="364">
        <v>1.0009999999999999</v>
      </c>
      <c r="Q5" s="364">
        <v>1.0009999999999999</v>
      </c>
      <c r="R5" s="364">
        <v>1.0009999999999999</v>
      </c>
      <c r="S5" s="364">
        <v>1.0009999999999999</v>
      </c>
      <c r="T5" s="21">
        <v>1.0009999999999999</v>
      </c>
      <c r="U5" s="110"/>
    </row>
    <row r="6" spans="1:21">
      <c r="A6" s="1">
        <f t="shared" si="0"/>
        <v>1984</v>
      </c>
      <c r="B6" s="364" t="s">
        <v>34</v>
      </c>
      <c r="C6" s="364" t="s">
        <v>34</v>
      </c>
      <c r="D6" s="364" t="s">
        <v>34</v>
      </c>
      <c r="E6" s="364" t="s">
        <v>34</v>
      </c>
      <c r="F6" s="364" t="s">
        <v>34</v>
      </c>
      <c r="G6" s="364" t="s">
        <v>34</v>
      </c>
      <c r="H6" s="364">
        <v>1.0009999999999999</v>
      </c>
      <c r="I6" s="364">
        <v>1.0009999999999999</v>
      </c>
      <c r="J6" s="364">
        <v>1.0009999999999999</v>
      </c>
      <c r="K6" s="364">
        <v>1.0009999999999999</v>
      </c>
      <c r="L6" s="364">
        <v>1.0009999999999999</v>
      </c>
      <c r="M6" s="364">
        <v>1.0009999999999999</v>
      </c>
      <c r="N6" s="364">
        <v>1.0009999999999999</v>
      </c>
      <c r="O6" s="364">
        <v>1.0009999999999999</v>
      </c>
      <c r="P6" s="364">
        <v>1</v>
      </c>
      <c r="Q6" s="364">
        <v>1.0009999999999999</v>
      </c>
      <c r="R6" s="364">
        <v>1</v>
      </c>
      <c r="S6" s="364">
        <v>1.0009999999999999</v>
      </c>
      <c r="T6" s="21">
        <v>1.0009999999999999</v>
      </c>
      <c r="U6" s="110"/>
    </row>
    <row r="7" spans="1:21">
      <c r="A7" s="1">
        <f t="shared" si="0"/>
        <v>1985</v>
      </c>
      <c r="B7" s="364" t="s">
        <v>34</v>
      </c>
      <c r="C7" s="364" t="s">
        <v>34</v>
      </c>
      <c r="D7" s="364" t="s">
        <v>34</v>
      </c>
      <c r="E7" s="364" t="s">
        <v>34</v>
      </c>
      <c r="F7" s="364" t="s">
        <v>34</v>
      </c>
      <c r="G7" s="364">
        <v>1.0009999999999999</v>
      </c>
      <c r="H7" s="364">
        <v>1.0009999999999999</v>
      </c>
      <c r="I7" s="364">
        <v>1.0009999999999999</v>
      </c>
      <c r="J7" s="364">
        <v>1.0009999999999999</v>
      </c>
      <c r="K7" s="364">
        <v>1.0009999999999999</v>
      </c>
      <c r="L7" s="364">
        <v>1.0009999999999999</v>
      </c>
      <c r="M7" s="364">
        <v>1.002</v>
      </c>
      <c r="N7" s="364">
        <v>1.0009999999999999</v>
      </c>
      <c r="O7" s="364">
        <v>1.0009999999999999</v>
      </c>
      <c r="P7" s="364">
        <v>1.0009999999999999</v>
      </c>
      <c r="Q7" s="364">
        <v>1.0009999999999999</v>
      </c>
      <c r="R7" s="364">
        <v>1</v>
      </c>
      <c r="S7" s="364">
        <v>1</v>
      </c>
      <c r="T7" s="21">
        <v>1</v>
      </c>
      <c r="U7" s="110"/>
    </row>
    <row r="8" spans="1:21">
      <c r="A8" s="1">
        <f t="shared" si="0"/>
        <v>1986</v>
      </c>
      <c r="B8" s="364" t="s">
        <v>34</v>
      </c>
      <c r="C8" s="364" t="s">
        <v>34</v>
      </c>
      <c r="D8" s="364" t="s">
        <v>34</v>
      </c>
      <c r="E8" s="364" t="s">
        <v>34</v>
      </c>
      <c r="F8" s="364">
        <v>1.0009999999999999</v>
      </c>
      <c r="G8" s="364">
        <v>1.0009999999999999</v>
      </c>
      <c r="H8" s="364">
        <v>1.0009999999999999</v>
      </c>
      <c r="I8" s="364">
        <v>1.0009999999999999</v>
      </c>
      <c r="J8" s="364">
        <v>1.0009999999999999</v>
      </c>
      <c r="K8" s="364">
        <v>1.0009999999999999</v>
      </c>
      <c r="L8" s="364">
        <v>1.0009999999999999</v>
      </c>
      <c r="M8" s="364">
        <v>1.0009999999999999</v>
      </c>
      <c r="N8" s="364">
        <v>1.0009999999999999</v>
      </c>
      <c r="O8" s="364">
        <v>1.0009999999999999</v>
      </c>
      <c r="P8" s="364">
        <v>1.0009999999999999</v>
      </c>
      <c r="Q8" s="364">
        <v>1</v>
      </c>
      <c r="R8" s="364">
        <v>1.0009999999999999</v>
      </c>
      <c r="S8" s="364">
        <v>1.0009999999999999</v>
      </c>
      <c r="T8" s="21" t="s">
        <v>34</v>
      </c>
      <c r="U8" s="110"/>
    </row>
    <row r="9" spans="1:21">
      <c r="A9" s="1">
        <f t="shared" si="0"/>
        <v>1987</v>
      </c>
      <c r="B9" s="364" t="s">
        <v>34</v>
      </c>
      <c r="C9" s="364" t="s">
        <v>34</v>
      </c>
      <c r="D9" s="364" t="s">
        <v>34</v>
      </c>
      <c r="E9" s="364">
        <v>1.0009999999999999</v>
      </c>
      <c r="F9" s="364">
        <v>1.0009999999999999</v>
      </c>
      <c r="G9" s="364">
        <v>1.0009999999999999</v>
      </c>
      <c r="H9" s="364">
        <v>1.0009999999999999</v>
      </c>
      <c r="I9" s="364">
        <v>1.0009999999999999</v>
      </c>
      <c r="J9" s="364">
        <v>1.002</v>
      </c>
      <c r="K9" s="364">
        <v>1.0009999999999999</v>
      </c>
      <c r="L9" s="364">
        <v>1.0009999999999999</v>
      </c>
      <c r="M9" s="364">
        <v>1.0009999999999999</v>
      </c>
      <c r="N9" s="364">
        <v>1.0009999999999999</v>
      </c>
      <c r="O9" s="364">
        <v>1.0009999999999999</v>
      </c>
      <c r="P9" s="364">
        <v>1.0009999999999999</v>
      </c>
      <c r="Q9" s="364">
        <v>1.0009999999999999</v>
      </c>
      <c r="R9" s="364">
        <v>1.0009999999999999</v>
      </c>
      <c r="S9" s="364" t="s">
        <v>34</v>
      </c>
      <c r="T9" s="21" t="s">
        <v>34</v>
      </c>
      <c r="U9" s="110"/>
    </row>
    <row r="10" spans="1:21">
      <c r="A10" s="1">
        <f t="shared" si="0"/>
        <v>1988</v>
      </c>
      <c r="B10" s="364" t="s">
        <v>34</v>
      </c>
      <c r="C10" s="364" t="s">
        <v>34</v>
      </c>
      <c r="D10" s="364">
        <v>1.002</v>
      </c>
      <c r="E10" s="364">
        <v>1.0009999999999999</v>
      </c>
      <c r="F10" s="364">
        <v>1.0009999999999999</v>
      </c>
      <c r="G10" s="364">
        <v>1.0009999999999999</v>
      </c>
      <c r="H10" s="364">
        <v>1.002</v>
      </c>
      <c r="I10" s="364">
        <v>1.0009999999999999</v>
      </c>
      <c r="J10" s="364">
        <v>1.0009999999999999</v>
      </c>
      <c r="K10" s="364">
        <v>1.0009999999999999</v>
      </c>
      <c r="L10" s="364">
        <v>1.0009999999999999</v>
      </c>
      <c r="M10" s="364">
        <v>1.0009999999999999</v>
      </c>
      <c r="N10" s="364">
        <v>1.0009999999999999</v>
      </c>
      <c r="O10" s="364">
        <v>1.0009999999999999</v>
      </c>
      <c r="P10" s="364">
        <v>1.0009999999999999</v>
      </c>
      <c r="Q10" s="364">
        <v>1.0009999999999999</v>
      </c>
      <c r="R10" s="364" t="s">
        <v>34</v>
      </c>
      <c r="S10" s="364" t="s">
        <v>34</v>
      </c>
      <c r="T10" s="21" t="s">
        <v>34</v>
      </c>
      <c r="U10" s="110"/>
    </row>
    <row r="11" spans="1:21">
      <c r="A11" s="1">
        <f t="shared" si="0"/>
        <v>1989</v>
      </c>
      <c r="B11" s="364" t="s">
        <v>34</v>
      </c>
      <c r="C11" s="364">
        <v>1.002</v>
      </c>
      <c r="D11" s="364">
        <v>1.002</v>
      </c>
      <c r="E11" s="364">
        <v>1.0009999999999999</v>
      </c>
      <c r="F11" s="364">
        <v>1.0009999999999999</v>
      </c>
      <c r="G11" s="364">
        <v>1.0009999999999999</v>
      </c>
      <c r="H11" s="364">
        <v>1.0009999999999999</v>
      </c>
      <c r="I11" s="364">
        <v>1.0009999999999999</v>
      </c>
      <c r="J11" s="364">
        <v>1.0009999999999999</v>
      </c>
      <c r="K11" s="364">
        <v>1.0009999999999999</v>
      </c>
      <c r="L11" s="364">
        <v>1.0009999999999999</v>
      </c>
      <c r="M11" s="364">
        <v>1.0009999999999999</v>
      </c>
      <c r="N11" s="364">
        <v>1.0009999999999999</v>
      </c>
      <c r="O11" s="364">
        <v>1.0009999999999999</v>
      </c>
      <c r="P11" s="364">
        <v>1</v>
      </c>
      <c r="Q11" s="364" t="s">
        <v>34</v>
      </c>
      <c r="R11" s="364" t="s">
        <v>34</v>
      </c>
      <c r="S11" s="364" t="s">
        <v>34</v>
      </c>
      <c r="T11" s="21" t="s">
        <v>34</v>
      </c>
      <c r="U11" s="110"/>
    </row>
    <row r="12" spans="1:21">
      <c r="A12" s="1">
        <f t="shared" si="0"/>
        <v>1990</v>
      </c>
      <c r="B12" s="364">
        <v>1.002</v>
      </c>
      <c r="C12" s="364">
        <v>1.002</v>
      </c>
      <c r="D12" s="364">
        <v>1.0009999999999999</v>
      </c>
      <c r="E12" s="364">
        <v>1.0009999999999999</v>
      </c>
      <c r="F12" s="364">
        <v>1.0009999999999999</v>
      </c>
      <c r="G12" s="364">
        <v>1.0009999999999999</v>
      </c>
      <c r="H12" s="364">
        <v>1.0009999999999999</v>
      </c>
      <c r="I12" s="364">
        <v>1.0009999999999999</v>
      </c>
      <c r="J12" s="364">
        <v>1.0009999999999999</v>
      </c>
      <c r="K12" s="364">
        <v>1</v>
      </c>
      <c r="L12" s="364">
        <v>1</v>
      </c>
      <c r="M12" s="364">
        <v>1.0009999999999999</v>
      </c>
      <c r="N12" s="364">
        <v>1.0009999999999999</v>
      </c>
      <c r="O12" s="364">
        <v>1.0009999999999999</v>
      </c>
      <c r="P12" s="364" t="s">
        <v>34</v>
      </c>
      <c r="Q12" s="364" t="s">
        <v>34</v>
      </c>
      <c r="R12" s="364" t="s">
        <v>34</v>
      </c>
      <c r="S12" s="364" t="s">
        <v>34</v>
      </c>
      <c r="T12" s="21" t="s">
        <v>34</v>
      </c>
      <c r="U12" s="110"/>
    </row>
    <row r="13" spans="1:21">
      <c r="A13" s="1">
        <f t="shared" si="0"/>
        <v>1991</v>
      </c>
      <c r="B13" s="364">
        <v>1.002</v>
      </c>
      <c r="C13" s="364">
        <v>1.002</v>
      </c>
      <c r="D13" s="364">
        <v>1.0009999999999999</v>
      </c>
      <c r="E13" s="364">
        <v>1.0009999999999999</v>
      </c>
      <c r="F13" s="364">
        <v>1.002</v>
      </c>
      <c r="G13" s="364">
        <v>1.0009999999999999</v>
      </c>
      <c r="H13" s="364">
        <v>1.0009999999999999</v>
      </c>
      <c r="I13" s="364">
        <v>1.0009999999999999</v>
      </c>
      <c r="J13" s="364">
        <v>1.0009999999999999</v>
      </c>
      <c r="K13" s="364">
        <v>1.0009999999999999</v>
      </c>
      <c r="L13" s="364">
        <v>1.0009999999999999</v>
      </c>
      <c r="M13" s="364">
        <v>1.0009999999999999</v>
      </c>
      <c r="N13" s="364">
        <v>1.0009999999999999</v>
      </c>
      <c r="O13" s="364" t="s">
        <v>34</v>
      </c>
      <c r="P13" s="364" t="s">
        <v>34</v>
      </c>
      <c r="Q13" s="364" t="s">
        <v>34</v>
      </c>
      <c r="R13" s="364" t="s">
        <v>34</v>
      </c>
      <c r="S13" s="364" t="s">
        <v>34</v>
      </c>
      <c r="T13" s="21" t="s">
        <v>34</v>
      </c>
      <c r="U13" s="110"/>
    </row>
    <row r="14" spans="1:21">
      <c r="A14" s="1">
        <f t="shared" si="0"/>
        <v>1992</v>
      </c>
      <c r="B14" s="364">
        <v>1.002</v>
      </c>
      <c r="C14" s="364">
        <v>1.002</v>
      </c>
      <c r="D14" s="364">
        <v>1.002</v>
      </c>
      <c r="E14" s="364">
        <v>1.002</v>
      </c>
      <c r="F14" s="364">
        <v>1.002</v>
      </c>
      <c r="G14" s="364">
        <v>1.0009999999999999</v>
      </c>
      <c r="H14" s="364">
        <v>1.0009999999999999</v>
      </c>
      <c r="I14" s="364">
        <v>1.0009999999999999</v>
      </c>
      <c r="J14" s="364">
        <v>1.0009999999999999</v>
      </c>
      <c r="K14" s="364">
        <v>1.0009999999999999</v>
      </c>
      <c r="L14" s="364">
        <v>1.0009999999999999</v>
      </c>
      <c r="M14" s="364">
        <v>1.0009999999999999</v>
      </c>
      <c r="N14" s="364" t="s">
        <v>34</v>
      </c>
      <c r="O14" s="364" t="s">
        <v>34</v>
      </c>
      <c r="P14" s="364" t="s">
        <v>34</v>
      </c>
      <c r="Q14" s="364" t="s">
        <v>34</v>
      </c>
      <c r="R14" s="364" t="s">
        <v>34</v>
      </c>
      <c r="S14" s="364" t="s">
        <v>34</v>
      </c>
      <c r="T14" s="21" t="s">
        <v>34</v>
      </c>
      <c r="U14" s="110"/>
    </row>
    <row r="15" spans="1:21">
      <c r="A15" s="1">
        <f t="shared" si="0"/>
        <v>1993</v>
      </c>
      <c r="B15" s="364">
        <v>1.002</v>
      </c>
      <c r="C15" s="364">
        <v>1.0029999999999999</v>
      </c>
      <c r="D15" s="364">
        <v>1.0029999999999999</v>
      </c>
      <c r="E15" s="364">
        <v>1.002</v>
      </c>
      <c r="F15" s="364">
        <v>1.002</v>
      </c>
      <c r="G15" s="364">
        <v>1.0009999999999999</v>
      </c>
      <c r="H15" s="364">
        <v>1.0009999999999999</v>
      </c>
      <c r="I15" s="364">
        <v>1.0009999999999999</v>
      </c>
      <c r="J15" s="364">
        <v>1.0009999999999999</v>
      </c>
      <c r="K15" s="364">
        <v>1.0009999999999999</v>
      </c>
      <c r="L15" s="364">
        <v>1.0009999999999999</v>
      </c>
      <c r="M15" s="364" t="s">
        <v>34</v>
      </c>
      <c r="N15" s="364" t="s">
        <v>34</v>
      </c>
      <c r="O15" s="364" t="s">
        <v>34</v>
      </c>
      <c r="P15" s="364" t="s">
        <v>34</v>
      </c>
      <c r="Q15" s="364" t="s">
        <v>34</v>
      </c>
      <c r="R15" s="364" t="s">
        <v>34</v>
      </c>
      <c r="S15" s="364" t="s">
        <v>34</v>
      </c>
      <c r="T15" s="21" t="s">
        <v>34</v>
      </c>
      <c r="U15" s="110"/>
    </row>
    <row r="16" spans="1:21">
      <c r="A16" s="1">
        <f t="shared" si="0"/>
        <v>1994</v>
      </c>
      <c r="B16" s="364">
        <v>1.004</v>
      </c>
      <c r="C16" s="364">
        <v>1.0029999999999999</v>
      </c>
      <c r="D16" s="364">
        <v>1.0029999999999999</v>
      </c>
      <c r="E16" s="364">
        <v>1.0029999999999999</v>
      </c>
      <c r="F16" s="364">
        <v>1.002</v>
      </c>
      <c r="G16" s="364">
        <v>1.002</v>
      </c>
      <c r="H16" s="364">
        <v>1.002</v>
      </c>
      <c r="I16" s="364">
        <v>1.0009999999999999</v>
      </c>
      <c r="J16" s="364">
        <v>1.0009999999999999</v>
      </c>
      <c r="K16" s="364">
        <v>1.0009999999999999</v>
      </c>
      <c r="L16" s="364" t="s">
        <v>34</v>
      </c>
      <c r="M16" s="364" t="s">
        <v>34</v>
      </c>
      <c r="N16" s="364" t="s">
        <v>34</v>
      </c>
      <c r="O16" s="364" t="s">
        <v>34</v>
      </c>
      <c r="P16" s="364" t="s">
        <v>34</v>
      </c>
      <c r="Q16" s="364" t="s">
        <v>34</v>
      </c>
      <c r="R16" s="364" t="s">
        <v>34</v>
      </c>
      <c r="S16" s="364" t="s">
        <v>34</v>
      </c>
      <c r="T16" s="21" t="s">
        <v>34</v>
      </c>
      <c r="U16" s="110"/>
    </row>
    <row r="17" spans="1:21">
      <c r="A17" s="1">
        <f t="shared" si="0"/>
        <v>1995</v>
      </c>
      <c r="B17" s="364">
        <v>1.0049999999999999</v>
      </c>
      <c r="C17" s="364">
        <v>1.0049999999999999</v>
      </c>
      <c r="D17" s="364">
        <v>1.0029999999999999</v>
      </c>
      <c r="E17" s="364">
        <v>1.0029999999999999</v>
      </c>
      <c r="F17" s="364">
        <v>1.002</v>
      </c>
      <c r="G17" s="364">
        <v>1.002</v>
      </c>
      <c r="H17" s="364">
        <v>1.002</v>
      </c>
      <c r="I17" s="364">
        <v>1.0029999999999999</v>
      </c>
      <c r="J17" s="364">
        <v>1.002</v>
      </c>
      <c r="K17" s="364" t="s">
        <v>34</v>
      </c>
      <c r="L17" s="364" t="s">
        <v>34</v>
      </c>
      <c r="M17" s="364" t="s">
        <v>34</v>
      </c>
      <c r="N17" s="364" t="s">
        <v>34</v>
      </c>
      <c r="O17" s="364" t="s">
        <v>34</v>
      </c>
      <c r="P17" s="364" t="s">
        <v>34</v>
      </c>
      <c r="Q17" s="364" t="s">
        <v>34</v>
      </c>
      <c r="R17" s="364" t="s">
        <v>34</v>
      </c>
      <c r="S17" s="364" t="s">
        <v>34</v>
      </c>
      <c r="T17" s="21" t="s">
        <v>34</v>
      </c>
      <c r="U17" s="110"/>
    </row>
    <row r="18" spans="1:21">
      <c r="A18" s="1">
        <f t="shared" si="0"/>
        <v>1996</v>
      </c>
      <c r="B18" s="364">
        <v>1.0049999999999999</v>
      </c>
      <c r="C18" s="364">
        <v>1.004</v>
      </c>
      <c r="D18" s="364">
        <v>1.0029999999999999</v>
      </c>
      <c r="E18" s="364">
        <v>1.0029999999999999</v>
      </c>
      <c r="F18" s="364">
        <v>1.002</v>
      </c>
      <c r="G18" s="364">
        <v>1.0029999999999999</v>
      </c>
      <c r="H18" s="364">
        <v>1.0029999999999999</v>
      </c>
      <c r="I18" s="364">
        <v>1.002</v>
      </c>
      <c r="J18" s="364" t="s">
        <v>34</v>
      </c>
      <c r="K18" s="364" t="s">
        <v>34</v>
      </c>
      <c r="L18" s="364" t="s">
        <v>34</v>
      </c>
      <c r="M18" s="364" t="s">
        <v>34</v>
      </c>
      <c r="N18" s="364" t="s">
        <v>34</v>
      </c>
      <c r="O18" s="364" t="s">
        <v>34</v>
      </c>
      <c r="P18" s="364" t="s">
        <v>34</v>
      </c>
      <c r="Q18" s="364" t="s">
        <v>34</v>
      </c>
      <c r="R18" s="364" t="s">
        <v>34</v>
      </c>
      <c r="S18" s="364" t="s">
        <v>34</v>
      </c>
      <c r="T18" s="21" t="s">
        <v>34</v>
      </c>
      <c r="U18" s="110"/>
    </row>
    <row r="19" spans="1:21">
      <c r="A19" s="1">
        <f t="shared" si="0"/>
        <v>1997</v>
      </c>
      <c r="B19" s="364">
        <v>1.004</v>
      </c>
      <c r="C19" s="364">
        <v>1.0029999999999999</v>
      </c>
      <c r="D19" s="364">
        <v>1.0029999999999999</v>
      </c>
      <c r="E19" s="364">
        <v>1.002</v>
      </c>
      <c r="F19" s="364">
        <v>1.0029999999999999</v>
      </c>
      <c r="G19" s="364">
        <v>1.0029999999999999</v>
      </c>
      <c r="H19" s="364">
        <v>1.0029999999999999</v>
      </c>
      <c r="I19" s="364" t="s">
        <v>34</v>
      </c>
      <c r="J19" s="364" t="s">
        <v>34</v>
      </c>
      <c r="K19" s="364" t="s">
        <v>34</v>
      </c>
      <c r="L19" s="364" t="s">
        <v>34</v>
      </c>
      <c r="M19" s="364" t="s">
        <v>34</v>
      </c>
      <c r="N19" s="364" t="s">
        <v>34</v>
      </c>
      <c r="O19" s="364" t="s">
        <v>34</v>
      </c>
      <c r="P19" s="364" t="s">
        <v>34</v>
      </c>
      <c r="Q19" s="364" t="s">
        <v>34</v>
      </c>
      <c r="R19" s="364" t="s">
        <v>34</v>
      </c>
      <c r="S19" s="364" t="s">
        <v>34</v>
      </c>
      <c r="T19" s="21" t="s">
        <v>34</v>
      </c>
      <c r="U19" s="110"/>
    </row>
    <row r="20" spans="1:21">
      <c r="A20" s="1">
        <f t="shared" si="0"/>
        <v>1998</v>
      </c>
      <c r="B20" s="364">
        <v>1.006</v>
      </c>
      <c r="C20" s="364">
        <v>1.004</v>
      </c>
      <c r="D20" s="364">
        <v>1.0029999999999999</v>
      </c>
      <c r="E20" s="364">
        <v>1.0029999999999999</v>
      </c>
      <c r="F20" s="364">
        <v>1.0029999999999999</v>
      </c>
      <c r="G20" s="364">
        <v>1.0029999999999999</v>
      </c>
      <c r="H20" s="364" t="s">
        <v>34</v>
      </c>
      <c r="I20" s="364" t="s">
        <v>34</v>
      </c>
      <c r="J20" s="364" t="s">
        <v>34</v>
      </c>
      <c r="K20" s="364" t="s">
        <v>34</v>
      </c>
      <c r="L20" s="364" t="s">
        <v>34</v>
      </c>
      <c r="M20" s="364" t="s">
        <v>34</v>
      </c>
      <c r="N20" s="364" t="s">
        <v>34</v>
      </c>
      <c r="O20" s="364" t="s">
        <v>34</v>
      </c>
      <c r="P20" s="364" t="s">
        <v>34</v>
      </c>
      <c r="Q20" s="364" t="s">
        <v>34</v>
      </c>
      <c r="R20" s="364" t="s">
        <v>34</v>
      </c>
      <c r="S20" s="364" t="s">
        <v>34</v>
      </c>
      <c r="T20" s="21" t="s">
        <v>34</v>
      </c>
      <c r="U20" s="110"/>
    </row>
    <row r="21" spans="1:21">
      <c r="A21" s="1">
        <f t="shared" si="0"/>
        <v>1999</v>
      </c>
      <c r="B21" s="364">
        <v>1.004</v>
      </c>
      <c r="C21" s="364">
        <v>1.0029999999999999</v>
      </c>
      <c r="D21" s="364">
        <v>1.0029999999999999</v>
      </c>
      <c r="E21" s="364">
        <v>1.0029999999999999</v>
      </c>
      <c r="F21" s="364">
        <v>1.002</v>
      </c>
      <c r="G21" s="364" t="s">
        <v>34</v>
      </c>
      <c r="H21" s="364" t="s">
        <v>34</v>
      </c>
      <c r="I21" s="364" t="s">
        <v>34</v>
      </c>
      <c r="J21" s="364" t="s">
        <v>34</v>
      </c>
      <c r="K21" s="364" t="s">
        <v>34</v>
      </c>
      <c r="L21" s="364" t="s">
        <v>34</v>
      </c>
      <c r="M21" s="364" t="s">
        <v>34</v>
      </c>
      <c r="N21" s="364" t="s">
        <v>34</v>
      </c>
      <c r="O21" s="364" t="s">
        <v>34</v>
      </c>
      <c r="P21" s="364" t="s">
        <v>34</v>
      </c>
      <c r="Q21" s="364" t="s">
        <v>34</v>
      </c>
      <c r="R21" s="364" t="s">
        <v>34</v>
      </c>
      <c r="S21" s="364" t="s">
        <v>34</v>
      </c>
      <c r="T21" s="21" t="s">
        <v>34</v>
      </c>
      <c r="U21" s="110"/>
    </row>
    <row r="22" spans="1:21">
      <c r="A22" s="1">
        <f t="shared" si="0"/>
        <v>2000</v>
      </c>
      <c r="B22" s="364">
        <v>1.004</v>
      </c>
      <c r="C22" s="364">
        <v>1.004</v>
      </c>
      <c r="D22" s="364">
        <v>1.0029999999999999</v>
      </c>
      <c r="E22" s="364">
        <v>1.002</v>
      </c>
      <c r="F22" s="364" t="s">
        <v>34</v>
      </c>
      <c r="G22" s="364" t="s">
        <v>34</v>
      </c>
      <c r="H22" s="364" t="s">
        <v>34</v>
      </c>
      <c r="I22" s="364" t="s">
        <v>34</v>
      </c>
      <c r="J22" s="364" t="s">
        <v>34</v>
      </c>
      <c r="K22" s="364" t="s">
        <v>34</v>
      </c>
      <c r="L22" s="364" t="s">
        <v>34</v>
      </c>
      <c r="M22" s="364" t="s">
        <v>34</v>
      </c>
      <c r="N22" s="364" t="s">
        <v>34</v>
      </c>
      <c r="O22" s="364" t="s">
        <v>34</v>
      </c>
      <c r="P22" s="364" t="s">
        <v>34</v>
      </c>
      <c r="Q22" s="364" t="s">
        <v>34</v>
      </c>
      <c r="R22" s="364" t="s">
        <v>34</v>
      </c>
      <c r="S22" s="364" t="s">
        <v>34</v>
      </c>
      <c r="T22" s="21" t="s">
        <v>34</v>
      </c>
      <c r="U22" s="110"/>
    </row>
    <row r="23" spans="1:21">
      <c r="A23" s="1">
        <f t="shared" si="0"/>
        <v>2001</v>
      </c>
      <c r="B23" s="364">
        <v>1.0049999999999999</v>
      </c>
      <c r="C23" s="364">
        <v>1.0049999999999999</v>
      </c>
      <c r="D23" s="364">
        <v>1.004</v>
      </c>
      <c r="E23" s="364" t="s">
        <v>34</v>
      </c>
      <c r="F23" s="364" t="s">
        <v>34</v>
      </c>
      <c r="G23" s="364" t="s">
        <v>34</v>
      </c>
      <c r="H23" s="364" t="s">
        <v>34</v>
      </c>
      <c r="I23" s="364" t="s">
        <v>34</v>
      </c>
      <c r="J23" s="364" t="s">
        <v>34</v>
      </c>
      <c r="K23" s="364" t="s">
        <v>34</v>
      </c>
      <c r="L23" s="364" t="s">
        <v>34</v>
      </c>
      <c r="M23" s="364" t="s">
        <v>34</v>
      </c>
      <c r="N23" s="364" t="s">
        <v>34</v>
      </c>
      <c r="O23" s="364" t="s">
        <v>34</v>
      </c>
      <c r="P23" s="364" t="s">
        <v>34</v>
      </c>
      <c r="Q23" s="364" t="s">
        <v>34</v>
      </c>
      <c r="R23" s="364" t="s">
        <v>34</v>
      </c>
      <c r="S23" s="364" t="s">
        <v>34</v>
      </c>
      <c r="T23" s="21" t="s">
        <v>34</v>
      </c>
      <c r="U23" s="110"/>
    </row>
    <row r="24" spans="1:21">
      <c r="A24" s="1">
        <f t="shared" si="0"/>
        <v>2002</v>
      </c>
      <c r="B24" s="364">
        <v>1.0049999999999999</v>
      </c>
      <c r="C24" s="364">
        <v>1.004</v>
      </c>
      <c r="D24" s="364" t="s">
        <v>34</v>
      </c>
      <c r="E24" s="364" t="s">
        <v>34</v>
      </c>
      <c r="F24" s="364" t="s">
        <v>34</v>
      </c>
      <c r="G24" s="364" t="s">
        <v>34</v>
      </c>
      <c r="H24" s="364" t="s">
        <v>34</v>
      </c>
      <c r="I24" s="364" t="s">
        <v>34</v>
      </c>
      <c r="J24" s="364" t="s">
        <v>34</v>
      </c>
      <c r="K24" s="364" t="s">
        <v>34</v>
      </c>
      <c r="L24" s="364" t="s">
        <v>34</v>
      </c>
      <c r="M24" s="364" t="s">
        <v>34</v>
      </c>
      <c r="N24" s="364" t="s">
        <v>34</v>
      </c>
      <c r="O24" s="364" t="s">
        <v>34</v>
      </c>
      <c r="P24" s="364" t="s">
        <v>34</v>
      </c>
      <c r="Q24" s="364" t="s">
        <v>34</v>
      </c>
      <c r="R24" s="364" t="s">
        <v>34</v>
      </c>
      <c r="S24" s="364" t="s">
        <v>34</v>
      </c>
      <c r="T24" s="21" t="s">
        <v>34</v>
      </c>
      <c r="U24" s="110"/>
    </row>
    <row r="25" spans="1:21">
      <c r="A25" s="1">
        <f>'Exhibit 2.2.2'!A25</f>
        <v>2003</v>
      </c>
      <c r="B25" s="364">
        <v>1.0069999999999999</v>
      </c>
      <c r="C25" s="364" t="s">
        <v>34</v>
      </c>
      <c r="D25" s="364" t="s">
        <v>34</v>
      </c>
      <c r="E25" s="364" t="s">
        <v>34</v>
      </c>
      <c r="F25" s="364" t="s">
        <v>34</v>
      </c>
      <c r="G25" s="364" t="s">
        <v>34</v>
      </c>
      <c r="H25" s="364" t="s">
        <v>34</v>
      </c>
      <c r="I25" s="364" t="s">
        <v>34</v>
      </c>
      <c r="J25" s="364" t="s">
        <v>34</v>
      </c>
      <c r="K25" s="364" t="s">
        <v>34</v>
      </c>
      <c r="L25" s="364" t="s">
        <v>34</v>
      </c>
      <c r="M25" s="364" t="s">
        <v>34</v>
      </c>
      <c r="N25" s="364" t="s">
        <v>34</v>
      </c>
      <c r="O25" s="364" t="s">
        <v>34</v>
      </c>
      <c r="P25" s="364" t="s">
        <v>34</v>
      </c>
      <c r="Q25" s="364" t="s">
        <v>34</v>
      </c>
      <c r="R25" s="364" t="s">
        <v>34</v>
      </c>
      <c r="S25" s="364" t="s">
        <v>34</v>
      </c>
      <c r="T25" s="21" t="s">
        <v>34</v>
      </c>
      <c r="U25" s="110"/>
    </row>
    <row r="26" spans="1:21">
      <c r="A26" s="17"/>
      <c r="B26" s="16"/>
      <c r="C26" s="16"/>
      <c r="D26" s="16"/>
      <c r="E26" s="16"/>
      <c r="F26" s="16"/>
      <c r="G26" s="16"/>
      <c r="H26" s="16"/>
      <c r="I26" s="16"/>
      <c r="J26" s="16"/>
      <c r="K26" s="16"/>
      <c r="L26" s="16"/>
      <c r="M26" s="16"/>
      <c r="N26" s="16"/>
      <c r="O26" s="16"/>
      <c r="P26" s="16"/>
      <c r="Q26" s="17"/>
      <c r="R26" s="17"/>
      <c r="S26" s="472"/>
      <c r="T26" s="17"/>
      <c r="U26" s="110"/>
    </row>
    <row r="27" spans="1:21">
      <c r="A27" s="18"/>
      <c r="B27" s="16"/>
      <c r="C27" s="16"/>
      <c r="D27" s="16"/>
      <c r="E27" s="16"/>
      <c r="F27" s="16"/>
      <c r="G27" s="16"/>
      <c r="H27" s="16"/>
      <c r="I27" s="16"/>
      <c r="J27" s="16"/>
      <c r="K27" s="16"/>
      <c r="L27" s="16"/>
      <c r="M27" s="16"/>
      <c r="N27" s="17"/>
      <c r="O27" s="17"/>
      <c r="P27" s="4"/>
      <c r="Q27" s="19"/>
      <c r="R27" s="19"/>
      <c r="U27" s="110"/>
    </row>
    <row r="28" spans="1:21">
      <c r="A28" s="1" t="s">
        <v>20</v>
      </c>
      <c r="B28" s="16">
        <f>AVERAGE(B23:B25)</f>
        <v>1.0056666666666665</v>
      </c>
      <c r="C28" s="16">
        <f>AVERAGE(C22:C24)</f>
        <v>1.0043333333333333</v>
      </c>
      <c r="D28" s="16">
        <f>AVERAGE(D21:D23)</f>
        <v>1.0033333333333332</v>
      </c>
      <c r="E28" s="16">
        <f>AVERAGE(E20:E22)</f>
        <v>1.0026666666666666</v>
      </c>
      <c r="F28" s="16">
        <f>AVERAGE(F19:F21)</f>
        <v>1.0026666666666666</v>
      </c>
      <c r="G28" s="16">
        <f>AVERAGE(G18:G20)</f>
        <v>1.0029999999999999</v>
      </c>
      <c r="H28" s="16">
        <f>AVERAGE(H17:H19)</f>
        <v>1.0026666666666666</v>
      </c>
      <c r="I28" s="16">
        <f>AVERAGE(I16:I18)</f>
        <v>1.0019999999999998</v>
      </c>
      <c r="J28" s="16">
        <f>AVERAGE(J15:J17)</f>
        <v>1.0013333333333332</v>
      </c>
      <c r="K28" s="16">
        <f>AVERAGE(K14:K16)</f>
        <v>1.0009999999999999</v>
      </c>
      <c r="L28" s="16">
        <f>AVERAGE(L13:L15)</f>
        <v>1.0009999999999999</v>
      </c>
      <c r="M28" s="16">
        <f>AVERAGE(M12:M14)</f>
        <v>1.0009999999999999</v>
      </c>
      <c r="N28" s="16">
        <f>AVERAGE(N11:N13)</f>
        <v>1.0009999999999999</v>
      </c>
      <c r="O28" s="16">
        <f>AVERAGE(O10:O12)</f>
        <v>1.0009999999999999</v>
      </c>
      <c r="P28" s="16">
        <f>AVERAGE(P9:P11)</f>
        <v>1.0006666666666666</v>
      </c>
      <c r="Q28" s="16">
        <f>AVERAGE(Q8:Q10)</f>
        <v>1.0006666666666666</v>
      </c>
      <c r="R28" s="16">
        <f>AVERAGE(R7:R9)</f>
        <v>1.0006666666666666</v>
      </c>
      <c r="S28" s="16">
        <f>AVERAGE(S6:S8)</f>
        <v>1.0006666666666666</v>
      </c>
      <c r="T28" s="16">
        <f>AVERAGE(T5:T7)</f>
        <v>1.0006666666666666</v>
      </c>
      <c r="U28" s="266"/>
    </row>
    <row r="29" spans="1:21">
      <c r="A29" s="12" t="s">
        <v>21</v>
      </c>
      <c r="B29" s="16">
        <f t="shared" ref="B29:Q29" si="1">C29*B28</f>
        <v>1.0438575985845195</v>
      </c>
      <c r="C29" s="16">
        <f t="shared" si="1"/>
        <v>1.0379757360800661</v>
      </c>
      <c r="D29" s="16">
        <f t="shared" si="1"/>
        <v>1.0334972480053761</v>
      </c>
      <c r="E29" s="16">
        <f t="shared" si="1"/>
        <v>1.0300637023309398</v>
      </c>
      <c r="F29" s="16">
        <f t="shared" si="1"/>
        <v>1.0273241712077192</v>
      </c>
      <c r="G29" s="16">
        <f t="shared" si="1"/>
        <v>1.0245919260715286</v>
      </c>
      <c r="H29" s="16">
        <f t="shared" si="1"/>
        <v>1.0215273440394106</v>
      </c>
      <c r="I29" s="16">
        <f t="shared" si="1"/>
        <v>1.0188105159967527</v>
      </c>
      <c r="J29" s="16">
        <f t="shared" si="1"/>
        <v>1.0167769620726077</v>
      </c>
      <c r="K29" s="16">
        <f t="shared" si="1"/>
        <v>1.0154230646530704</v>
      </c>
      <c r="L29" s="16">
        <f t="shared" si="1"/>
        <v>1.0144086559970735</v>
      </c>
      <c r="M29" s="16">
        <f t="shared" si="1"/>
        <v>1.0133952607363372</v>
      </c>
      <c r="N29" s="16">
        <f t="shared" si="1"/>
        <v>1.0123828778584789</v>
      </c>
      <c r="O29" s="16">
        <f t="shared" si="1"/>
        <v>1.0113715063521269</v>
      </c>
      <c r="P29" s="16">
        <f t="shared" si="1"/>
        <v>1.0103611452069201</v>
      </c>
      <c r="Q29" s="16">
        <f t="shared" si="1"/>
        <v>1.0096880198603466</v>
      </c>
      <c r="R29" s="16">
        <f t="shared" ref="R29" si="2">S29*R28</f>
        <v>1.0090153429650366</v>
      </c>
      <c r="S29" s="16">
        <f t="shared" ref="S29" si="3">T29*S28</f>
        <v>1.0083431142222219</v>
      </c>
      <c r="T29" s="16">
        <f t="shared" ref="T29" si="4">U29*T28</f>
        <v>1.0076713333333331</v>
      </c>
      <c r="U29" s="21">
        <v>1.0069999999999999</v>
      </c>
    </row>
    <row r="30" spans="1:21">
      <c r="A30" s="17"/>
      <c r="B30" s="136"/>
      <c r="C30" s="136"/>
      <c r="D30" s="136"/>
      <c r="E30" s="136"/>
      <c r="F30" s="136"/>
      <c r="G30" s="136"/>
      <c r="H30" s="137"/>
      <c r="I30" s="137"/>
      <c r="J30" s="137"/>
      <c r="K30" s="137"/>
      <c r="L30" s="137"/>
      <c r="M30" s="137"/>
      <c r="N30" s="137"/>
      <c r="O30" s="137"/>
      <c r="P30" s="137"/>
      <c r="Q30" s="16"/>
      <c r="R30" s="16"/>
      <c r="S30" s="16"/>
      <c r="T30" s="16"/>
      <c r="U30" s="110"/>
    </row>
    <row r="31" spans="1:21" ht="12.75" customHeight="1">
      <c r="A31" s="20" t="s">
        <v>25</v>
      </c>
      <c r="B31" s="309" t="s">
        <v>511</v>
      </c>
      <c r="C31" s="305"/>
      <c r="D31" s="305"/>
      <c r="E31" s="305"/>
      <c r="F31" s="305"/>
      <c r="G31" s="305"/>
      <c r="H31" s="305"/>
      <c r="I31" s="305"/>
      <c r="J31" s="305"/>
      <c r="K31" s="305"/>
      <c r="L31" s="305"/>
      <c r="M31" s="305"/>
      <c r="N31" s="305"/>
      <c r="O31" s="305"/>
      <c r="P31" s="305"/>
      <c r="Q31" s="305"/>
      <c r="R31" s="231"/>
      <c r="S31" s="471"/>
      <c r="T31" s="305"/>
      <c r="U31" s="110"/>
    </row>
    <row r="32" spans="1:21" ht="12.75" customHeight="1">
      <c r="A32" s="20"/>
      <c r="B32" s="309" t="s">
        <v>461</v>
      </c>
      <c r="C32" s="303"/>
      <c r="D32" s="303"/>
      <c r="E32" s="303"/>
      <c r="F32" s="303"/>
      <c r="G32" s="303"/>
      <c r="H32" s="303"/>
      <c r="I32" s="303"/>
      <c r="J32" s="303"/>
      <c r="K32" s="303"/>
      <c r="L32" s="303"/>
      <c r="M32" s="303"/>
      <c r="N32" s="303"/>
      <c r="O32" s="303"/>
      <c r="P32" s="303"/>
      <c r="Q32" s="303"/>
      <c r="R32" s="303"/>
      <c r="S32" s="463"/>
      <c r="T32" s="303"/>
    </row>
  </sheetData>
  <pageMargins left="0.7" right="0.7" top="0.75" bottom="0.75" header="0.3" footer="0.3"/>
  <pageSetup scale="73" orientation="landscape" blackAndWhite="1" horizontalDpi="1200" verticalDpi="1200" r:id="rId1"/>
  <headerFooter scaleWithDoc="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pageSetUpPr fitToPage="1"/>
  </sheetPr>
  <dimension ref="A1:Q74"/>
  <sheetViews>
    <sheetView zoomScaleNormal="100" workbookViewId="0"/>
  </sheetViews>
  <sheetFormatPr defaultColWidth="9.1796875" defaultRowHeight="12.5"/>
  <cols>
    <col min="1" max="1" width="20.54296875" style="108" customWidth="1"/>
    <col min="2" max="17" width="8.7265625" style="108" customWidth="1"/>
    <col min="18" max="16384" width="9.1796875" style="108"/>
  </cols>
  <sheetData>
    <row r="1" spans="1:17" ht="13.15" customHeight="1">
      <c r="A1" s="243" t="s">
        <v>35</v>
      </c>
      <c r="B1" s="243"/>
      <c r="C1" s="243"/>
      <c r="D1" s="243"/>
      <c r="E1" s="243"/>
      <c r="F1" s="243"/>
      <c r="G1" s="243"/>
      <c r="H1" s="243"/>
      <c r="I1" s="243"/>
      <c r="J1" s="243"/>
      <c r="K1" s="243"/>
      <c r="L1" s="243"/>
      <c r="M1" s="243"/>
      <c r="N1" s="243"/>
      <c r="O1" s="243"/>
      <c r="P1" s="243"/>
      <c r="Q1" s="243"/>
    </row>
    <row r="2" spans="1:17" ht="13.15" customHeight="1"/>
    <row r="3" spans="1:17" ht="13.15" customHeight="1">
      <c r="A3" s="1" t="s">
        <v>58</v>
      </c>
      <c r="B3" s="246" t="s">
        <v>18</v>
      </c>
      <c r="C3" s="246"/>
      <c r="D3" s="246"/>
      <c r="E3" s="246"/>
      <c r="F3" s="246"/>
      <c r="G3" s="246"/>
      <c r="H3" s="246"/>
      <c r="I3" s="246"/>
      <c r="J3" s="246"/>
      <c r="K3" s="246"/>
      <c r="L3" s="246"/>
      <c r="M3" s="246"/>
      <c r="N3" s="246"/>
      <c r="O3" s="246"/>
      <c r="P3" s="246"/>
      <c r="Q3" s="246"/>
    </row>
    <row r="4" spans="1:17" ht="13.15" customHeight="1">
      <c r="A4" s="19" t="s">
        <v>19</v>
      </c>
      <c r="B4" s="11" t="s">
        <v>471</v>
      </c>
      <c r="C4" s="11" t="s">
        <v>472</v>
      </c>
      <c r="D4" s="11" t="s">
        <v>473</v>
      </c>
      <c r="E4" s="11" t="s">
        <v>474</v>
      </c>
      <c r="F4" s="11" t="s">
        <v>475</v>
      </c>
      <c r="G4" s="11" t="s">
        <v>476</v>
      </c>
      <c r="H4" s="11" t="s">
        <v>477</v>
      </c>
      <c r="I4" s="11" t="s">
        <v>478</v>
      </c>
      <c r="J4" s="11" t="s">
        <v>479</v>
      </c>
      <c r="K4" s="11" t="s">
        <v>480</v>
      </c>
      <c r="L4" s="11" t="s">
        <v>481</v>
      </c>
      <c r="M4" s="11" t="s">
        <v>482</v>
      </c>
      <c r="N4" s="11" t="s">
        <v>483</v>
      </c>
      <c r="O4" s="11" t="s">
        <v>484</v>
      </c>
      <c r="P4" s="11" t="s">
        <v>485</v>
      </c>
      <c r="Q4" s="11" t="s">
        <v>486</v>
      </c>
    </row>
    <row r="5" spans="1:17" ht="12" customHeight="1">
      <c r="A5" s="1">
        <f t="shared" ref="A5:A28" si="0">+A6-1</f>
        <v>1995</v>
      </c>
      <c r="B5" s="364" t="s">
        <v>34</v>
      </c>
      <c r="C5" s="364" t="s">
        <v>34</v>
      </c>
      <c r="D5" s="364" t="s">
        <v>34</v>
      </c>
      <c r="E5" s="364" t="s">
        <v>34</v>
      </c>
      <c r="F5" s="364" t="s">
        <v>34</v>
      </c>
      <c r="G5" s="364" t="s">
        <v>34</v>
      </c>
      <c r="H5" s="364" t="s">
        <v>34</v>
      </c>
      <c r="I5" s="364" t="s">
        <v>34</v>
      </c>
      <c r="J5" s="364" t="s">
        <v>34</v>
      </c>
      <c r="K5" s="364" t="s">
        <v>34</v>
      </c>
      <c r="L5" s="364" t="s">
        <v>34</v>
      </c>
      <c r="M5" s="364">
        <v>1.0209999999999999</v>
      </c>
      <c r="N5" s="364">
        <v>1.0189999999999999</v>
      </c>
      <c r="O5" s="364">
        <v>1.018</v>
      </c>
      <c r="P5" s="364">
        <v>1.018</v>
      </c>
      <c r="Q5" s="364">
        <v>1.0149999999999999</v>
      </c>
    </row>
    <row r="6" spans="1:17" ht="12" customHeight="1">
      <c r="A6" s="1">
        <f t="shared" si="0"/>
        <v>1996</v>
      </c>
      <c r="B6" s="364" t="s">
        <v>34</v>
      </c>
      <c r="C6" s="364" t="s">
        <v>34</v>
      </c>
      <c r="D6" s="364" t="s">
        <v>34</v>
      </c>
      <c r="E6" s="364" t="s">
        <v>34</v>
      </c>
      <c r="F6" s="364" t="s">
        <v>34</v>
      </c>
      <c r="G6" s="364" t="s">
        <v>34</v>
      </c>
      <c r="H6" s="364" t="s">
        <v>34</v>
      </c>
      <c r="I6" s="364" t="s">
        <v>34</v>
      </c>
      <c r="J6" s="364" t="s">
        <v>34</v>
      </c>
      <c r="K6" s="364" t="s">
        <v>34</v>
      </c>
      <c r="L6" s="364">
        <v>1.0269999999999999</v>
      </c>
      <c r="M6" s="364">
        <v>1.0229999999999999</v>
      </c>
      <c r="N6" s="364">
        <v>1.02</v>
      </c>
      <c r="O6" s="364">
        <v>1.018</v>
      </c>
      <c r="P6" s="364">
        <v>1.016</v>
      </c>
      <c r="Q6" s="364">
        <v>1.0129999999999999</v>
      </c>
    </row>
    <row r="7" spans="1:17" ht="12" customHeight="1">
      <c r="A7" s="1">
        <f t="shared" si="0"/>
        <v>1997</v>
      </c>
      <c r="B7" s="364" t="s">
        <v>34</v>
      </c>
      <c r="C7" s="364" t="s">
        <v>34</v>
      </c>
      <c r="D7" s="364" t="s">
        <v>34</v>
      </c>
      <c r="E7" s="364" t="s">
        <v>34</v>
      </c>
      <c r="F7" s="364" t="s">
        <v>34</v>
      </c>
      <c r="G7" s="364" t="s">
        <v>34</v>
      </c>
      <c r="H7" s="364" t="s">
        <v>34</v>
      </c>
      <c r="I7" s="364" t="s">
        <v>34</v>
      </c>
      <c r="J7" s="364" t="s">
        <v>34</v>
      </c>
      <c r="K7" s="364">
        <v>1.028</v>
      </c>
      <c r="L7" s="364">
        <v>1.026</v>
      </c>
      <c r="M7" s="364">
        <v>1.022</v>
      </c>
      <c r="N7" s="364">
        <v>1.0189999999999999</v>
      </c>
      <c r="O7" s="364">
        <v>1.016</v>
      </c>
      <c r="P7" s="364">
        <v>1.014</v>
      </c>
      <c r="Q7" s="364">
        <v>1.014</v>
      </c>
    </row>
    <row r="8" spans="1:17" ht="12" customHeight="1">
      <c r="A8" s="1">
        <f t="shared" si="0"/>
        <v>1998</v>
      </c>
      <c r="B8" s="364" t="s">
        <v>34</v>
      </c>
      <c r="C8" s="364" t="s">
        <v>34</v>
      </c>
      <c r="D8" s="364" t="s">
        <v>34</v>
      </c>
      <c r="E8" s="364" t="s">
        <v>34</v>
      </c>
      <c r="F8" s="364" t="s">
        <v>34</v>
      </c>
      <c r="G8" s="364" t="s">
        <v>34</v>
      </c>
      <c r="H8" s="364" t="s">
        <v>34</v>
      </c>
      <c r="I8" s="364" t="s">
        <v>34</v>
      </c>
      <c r="J8" s="364">
        <v>1.0329999999999999</v>
      </c>
      <c r="K8" s="364">
        <v>1.032</v>
      </c>
      <c r="L8" s="364">
        <v>1.03</v>
      </c>
      <c r="M8" s="364">
        <v>1.0209999999999999</v>
      </c>
      <c r="N8" s="364">
        <v>1.0189999999999999</v>
      </c>
      <c r="O8" s="364">
        <v>1.0189999999999999</v>
      </c>
      <c r="P8" s="364">
        <v>1.0149999999999999</v>
      </c>
      <c r="Q8" s="364">
        <v>1.0169999999999999</v>
      </c>
    </row>
    <row r="9" spans="1:17" ht="12" customHeight="1">
      <c r="A9" s="1">
        <f t="shared" si="0"/>
        <v>1999</v>
      </c>
      <c r="B9" s="364" t="s">
        <v>34</v>
      </c>
      <c r="C9" s="364" t="s">
        <v>34</v>
      </c>
      <c r="D9" s="364" t="s">
        <v>34</v>
      </c>
      <c r="E9" s="364" t="s">
        <v>34</v>
      </c>
      <c r="F9" s="364" t="s">
        <v>34</v>
      </c>
      <c r="G9" s="364" t="s">
        <v>34</v>
      </c>
      <c r="H9" s="364" t="s">
        <v>34</v>
      </c>
      <c r="I9" s="364">
        <v>1.0349999999999999</v>
      </c>
      <c r="J9" s="364">
        <v>1.032</v>
      </c>
      <c r="K9" s="364">
        <v>1.032</v>
      </c>
      <c r="L9" s="364">
        <v>1.0249999999999999</v>
      </c>
      <c r="M9" s="364">
        <v>1.0249999999999999</v>
      </c>
      <c r="N9" s="364">
        <v>1.016</v>
      </c>
      <c r="O9" s="364">
        <v>1.016</v>
      </c>
      <c r="P9" s="364">
        <v>1.018</v>
      </c>
      <c r="Q9" s="364">
        <v>1.0149999999999999</v>
      </c>
    </row>
    <row r="10" spans="1:17" ht="12" customHeight="1">
      <c r="A10" s="1">
        <f t="shared" si="0"/>
        <v>2000</v>
      </c>
      <c r="B10" s="364" t="s">
        <v>34</v>
      </c>
      <c r="C10" s="364" t="s">
        <v>34</v>
      </c>
      <c r="D10" s="364" t="s">
        <v>34</v>
      </c>
      <c r="E10" s="364" t="s">
        <v>34</v>
      </c>
      <c r="F10" s="364" t="s">
        <v>34</v>
      </c>
      <c r="G10" s="364" t="s">
        <v>34</v>
      </c>
      <c r="H10" s="364">
        <v>1.042</v>
      </c>
      <c r="I10" s="364">
        <v>1.038</v>
      </c>
      <c r="J10" s="364">
        <v>1.0309999999999999</v>
      </c>
      <c r="K10" s="364">
        <v>1.0269999999999999</v>
      </c>
      <c r="L10" s="364">
        <v>1.0229999999999999</v>
      </c>
      <c r="M10" s="364">
        <v>1.02</v>
      </c>
      <c r="N10" s="364">
        <v>1.02</v>
      </c>
      <c r="O10" s="364">
        <v>1.0169999999999999</v>
      </c>
      <c r="P10" s="364">
        <v>1.0129999999999999</v>
      </c>
      <c r="Q10" s="364">
        <v>1.01</v>
      </c>
    </row>
    <row r="11" spans="1:17" ht="12" customHeight="1">
      <c r="A11" s="1">
        <f t="shared" si="0"/>
        <v>2001</v>
      </c>
      <c r="B11" s="364" t="s">
        <v>34</v>
      </c>
      <c r="C11" s="364" t="s">
        <v>34</v>
      </c>
      <c r="D11" s="364" t="s">
        <v>34</v>
      </c>
      <c r="E11" s="364" t="s">
        <v>34</v>
      </c>
      <c r="F11" s="364" t="s">
        <v>34</v>
      </c>
      <c r="G11" s="364">
        <v>1.0569999999999999</v>
      </c>
      <c r="H11" s="364">
        <v>1.0449999999999999</v>
      </c>
      <c r="I11" s="364">
        <v>1.038</v>
      </c>
      <c r="J11" s="364">
        <v>1.034</v>
      </c>
      <c r="K11" s="364">
        <v>1.03</v>
      </c>
      <c r="L11" s="364">
        <v>1.022</v>
      </c>
      <c r="M11" s="364">
        <v>1.022</v>
      </c>
      <c r="N11" s="364">
        <v>1.022</v>
      </c>
      <c r="O11" s="364">
        <v>1.0169999999999999</v>
      </c>
      <c r="P11" s="364">
        <v>1.012</v>
      </c>
      <c r="Q11" s="364">
        <v>1.0109999999999999</v>
      </c>
    </row>
    <row r="12" spans="1:17" ht="12" customHeight="1">
      <c r="A12" s="1">
        <f t="shared" si="0"/>
        <v>2002</v>
      </c>
      <c r="B12" s="364" t="s">
        <v>34</v>
      </c>
      <c r="C12" s="364" t="s">
        <v>34</v>
      </c>
      <c r="D12" s="364" t="s">
        <v>34</v>
      </c>
      <c r="E12" s="364" t="s">
        <v>34</v>
      </c>
      <c r="F12" s="364">
        <v>1.0720000000000001</v>
      </c>
      <c r="G12" s="364">
        <v>1.054</v>
      </c>
      <c r="H12" s="364">
        <v>1.046</v>
      </c>
      <c r="I12" s="364">
        <v>1.034</v>
      </c>
      <c r="J12" s="364">
        <v>1.032</v>
      </c>
      <c r="K12" s="364">
        <v>1.024</v>
      </c>
      <c r="L12" s="364">
        <v>1.0229999999999999</v>
      </c>
      <c r="M12" s="364">
        <v>1.018</v>
      </c>
      <c r="N12" s="364">
        <v>1.016</v>
      </c>
      <c r="O12" s="364">
        <v>1.012</v>
      </c>
      <c r="P12" s="364">
        <v>1.0109999999999999</v>
      </c>
      <c r="Q12" s="364">
        <v>1.01</v>
      </c>
    </row>
    <row r="13" spans="1:17" ht="12" customHeight="1">
      <c r="A13" s="1">
        <f t="shared" si="0"/>
        <v>2003</v>
      </c>
      <c r="B13" s="364" t="s">
        <v>34</v>
      </c>
      <c r="C13" s="364" t="s">
        <v>34</v>
      </c>
      <c r="D13" s="364" t="s">
        <v>34</v>
      </c>
      <c r="E13" s="364">
        <v>1.1120000000000001</v>
      </c>
      <c r="F13" s="364">
        <v>1.0740000000000001</v>
      </c>
      <c r="G13" s="364">
        <v>1.0569999999999999</v>
      </c>
      <c r="H13" s="364">
        <v>1.048</v>
      </c>
      <c r="I13" s="364">
        <v>1.0409999999999999</v>
      </c>
      <c r="J13" s="364">
        <v>1.03</v>
      </c>
      <c r="K13" s="364">
        <v>1.03</v>
      </c>
      <c r="L13" s="364">
        <v>1.026</v>
      </c>
      <c r="M13" s="364">
        <v>1.0189999999999999</v>
      </c>
      <c r="N13" s="364">
        <v>1.016</v>
      </c>
      <c r="O13" s="364">
        <v>1.0129999999999999</v>
      </c>
      <c r="P13" s="364">
        <v>1.012</v>
      </c>
      <c r="Q13" s="364">
        <v>1.01</v>
      </c>
    </row>
    <row r="14" spans="1:17" ht="12" customHeight="1">
      <c r="A14" s="1">
        <f t="shared" si="0"/>
        <v>2004</v>
      </c>
      <c r="B14" s="364" t="s">
        <v>34</v>
      </c>
      <c r="C14" s="364" t="s">
        <v>34</v>
      </c>
      <c r="D14" s="364">
        <v>1.1890000000000001</v>
      </c>
      <c r="E14" s="364">
        <v>1.123</v>
      </c>
      <c r="F14" s="364">
        <v>1.0920000000000001</v>
      </c>
      <c r="G14" s="364">
        <v>1.07</v>
      </c>
      <c r="H14" s="364">
        <v>1.0549999999999999</v>
      </c>
      <c r="I14" s="364">
        <v>1.04</v>
      </c>
      <c r="J14" s="364">
        <v>1.036</v>
      </c>
      <c r="K14" s="364">
        <v>1.034</v>
      </c>
      <c r="L14" s="364">
        <v>1.024</v>
      </c>
      <c r="M14" s="364">
        <v>1.018</v>
      </c>
      <c r="N14" s="364">
        <v>1.0149999999999999</v>
      </c>
      <c r="O14" s="364">
        <v>1.012</v>
      </c>
      <c r="P14" s="364">
        <v>1.0129999999999999</v>
      </c>
      <c r="Q14" s="364">
        <v>1.0089999999999999</v>
      </c>
    </row>
    <row r="15" spans="1:17" ht="12" customHeight="1">
      <c r="A15" s="1">
        <f t="shared" si="0"/>
        <v>2005</v>
      </c>
      <c r="B15" s="364" t="s">
        <v>34</v>
      </c>
      <c r="C15" s="364">
        <v>1.345</v>
      </c>
      <c r="D15" s="364">
        <v>1.2090000000000001</v>
      </c>
      <c r="E15" s="364">
        <v>1.1379999999999999</v>
      </c>
      <c r="F15" s="364">
        <v>1.095</v>
      </c>
      <c r="G15" s="364">
        <v>1.073</v>
      </c>
      <c r="H15" s="364">
        <v>1.054</v>
      </c>
      <c r="I15" s="364">
        <v>1.0489999999999999</v>
      </c>
      <c r="J15" s="364">
        <v>1.038</v>
      </c>
      <c r="K15" s="364">
        <v>1.0309999999999999</v>
      </c>
      <c r="L15" s="364">
        <v>1.0209999999999999</v>
      </c>
      <c r="M15" s="364">
        <v>1.0189999999999999</v>
      </c>
      <c r="N15" s="364">
        <v>1.014</v>
      </c>
      <c r="O15" s="364">
        <v>1.0129999999999999</v>
      </c>
      <c r="P15" s="364">
        <v>1.012</v>
      </c>
      <c r="Q15" s="364" t="s">
        <v>34</v>
      </c>
    </row>
    <row r="16" spans="1:17" ht="12" customHeight="1">
      <c r="A16" s="1">
        <f t="shared" si="0"/>
        <v>2006</v>
      </c>
      <c r="B16" s="364">
        <v>2.34</v>
      </c>
      <c r="C16" s="364">
        <v>1.399</v>
      </c>
      <c r="D16" s="364">
        <v>1.22</v>
      </c>
      <c r="E16" s="364">
        <v>1.1399999999999999</v>
      </c>
      <c r="F16" s="364">
        <v>1.099</v>
      </c>
      <c r="G16" s="364">
        <v>1.0680000000000001</v>
      </c>
      <c r="H16" s="364">
        <v>1.056</v>
      </c>
      <c r="I16" s="364">
        <v>1.042</v>
      </c>
      <c r="J16" s="364">
        <v>1.034</v>
      </c>
      <c r="K16" s="364">
        <v>1.0249999999999999</v>
      </c>
      <c r="L16" s="364">
        <v>1.02</v>
      </c>
      <c r="M16" s="364">
        <v>1.0149999999999999</v>
      </c>
      <c r="N16" s="364">
        <v>1.014</v>
      </c>
      <c r="O16" s="364">
        <v>1.0109999999999999</v>
      </c>
      <c r="P16" s="364" t="s">
        <v>34</v>
      </c>
      <c r="Q16" s="364" t="s">
        <v>34</v>
      </c>
    </row>
    <row r="17" spans="1:17" ht="12" customHeight="1">
      <c r="A17" s="1">
        <f t="shared" si="0"/>
        <v>2007</v>
      </c>
      <c r="B17" s="364">
        <v>2.4159999999999999</v>
      </c>
      <c r="C17" s="364">
        <v>1.413</v>
      </c>
      <c r="D17" s="364">
        <v>1.23</v>
      </c>
      <c r="E17" s="364">
        <v>1.1419999999999999</v>
      </c>
      <c r="F17" s="364">
        <v>1.097</v>
      </c>
      <c r="G17" s="364">
        <v>1.075</v>
      </c>
      <c r="H17" s="364">
        <v>1.0569999999999999</v>
      </c>
      <c r="I17" s="364">
        <v>1.0409999999999999</v>
      </c>
      <c r="J17" s="364">
        <v>1.0309999999999999</v>
      </c>
      <c r="K17" s="364">
        <v>1.022</v>
      </c>
      <c r="L17" s="364">
        <v>1.02</v>
      </c>
      <c r="M17" s="364">
        <v>1.0149999999999999</v>
      </c>
      <c r="N17" s="364">
        <v>1.012</v>
      </c>
      <c r="O17" s="364" t="s">
        <v>34</v>
      </c>
      <c r="P17" s="364" t="s">
        <v>34</v>
      </c>
      <c r="Q17" s="364" t="s">
        <v>34</v>
      </c>
    </row>
    <row r="18" spans="1:17" ht="12" customHeight="1">
      <c r="A18" s="1">
        <f t="shared" si="0"/>
        <v>2008</v>
      </c>
      <c r="B18" s="364">
        <v>2.3250000000000002</v>
      </c>
      <c r="C18" s="364">
        <v>1.421</v>
      </c>
      <c r="D18" s="364">
        <v>1.2410000000000001</v>
      </c>
      <c r="E18" s="364">
        <v>1.1479999999999999</v>
      </c>
      <c r="F18" s="364">
        <v>1.103</v>
      </c>
      <c r="G18" s="364">
        <v>1.0720000000000001</v>
      </c>
      <c r="H18" s="364">
        <v>1.0509999999999999</v>
      </c>
      <c r="I18" s="364">
        <v>1.0349999999999999</v>
      </c>
      <c r="J18" s="364">
        <v>1.0269999999999999</v>
      </c>
      <c r="K18" s="364">
        <v>1.018</v>
      </c>
      <c r="L18" s="364">
        <v>1.0169999999999999</v>
      </c>
      <c r="M18" s="364">
        <v>1.012</v>
      </c>
      <c r="N18" s="364" t="s">
        <v>34</v>
      </c>
      <c r="O18" s="364" t="s">
        <v>34</v>
      </c>
      <c r="P18" s="364" t="s">
        <v>34</v>
      </c>
      <c r="Q18" s="364" t="s">
        <v>34</v>
      </c>
    </row>
    <row r="19" spans="1:17" ht="12" customHeight="1">
      <c r="A19" s="1">
        <f t="shared" si="0"/>
        <v>2009</v>
      </c>
      <c r="B19" s="364">
        <v>2.4079999999999999</v>
      </c>
      <c r="C19" s="364">
        <v>1.4470000000000001</v>
      </c>
      <c r="D19" s="364">
        <v>1.2509999999999999</v>
      </c>
      <c r="E19" s="364">
        <v>1.1599999999999999</v>
      </c>
      <c r="F19" s="364">
        <v>1.1040000000000001</v>
      </c>
      <c r="G19" s="364">
        <v>1.0669999999999999</v>
      </c>
      <c r="H19" s="364">
        <v>1.046</v>
      </c>
      <c r="I19" s="364">
        <v>1.032</v>
      </c>
      <c r="J19" s="364">
        <v>1.024</v>
      </c>
      <c r="K19" s="364">
        <v>1.0189999999999999</v>
      </c>
      <c r="L19" s="364">
        <v>1.0129999999999999</v>
      </c>
      <c r="M19" s="364" t="s">
        <v>34</v>
      </c>
      <c r="N19" s="364" t="s">
        <v>34</v>
      </c>
      <c r="O19" s="364" t="s">
        <v>34</v>
      </c>
      <c r="P19" s="364" t="s">
        <v>34</v>
      </c>
      <c r="Q19" s="364" t="s">
        <v>34</v>
      </c>
    </row>
    <row r="20" spans="1:17" ht="12" customHeight="1">
      <c r="A20" s="1">
        <f t="shared" si="0"/>
        <v>2010</v>
      </c>
      <c r="B20" s="364">
        <v>2.4790000000000001</v>
      </c>
      <c r="C20" s="364">
        <v>1.468</v>
      </c>
      <c r="D20" s="364">
        <v>1.2649999999999999</v>
      </c>
      <c r="E20" s="364">
        <v>1.1519999999999999</v>
      </c>
      <c r="F20" s="364">
        <v>1.0960000000000001</v>
      </c>
      <c r="G20" s="364">
        <v>1.0660000000000001</v>
      </c>
      <c r="H20" s="364">
        <v>1.0429999999999999</v>
      </c>
      <c r="I20" s="364">
        <v>1.03</v>
      </c>
      <c r="J20" s="364">
        <v>1.024</v>
      </c>
      <c r="K20" s="364">
        <v>1.0169999999999999</v>
      </c>
      <c r="L20" s="364" t="s">
        <v>34</v>
      </c>
      <c r="M20" s="364" t="s">
        <v>34</v>
      </c>
      <c r="N20" s="364" t="s">
        <v>34</v>
      </c>
      <c r="O20" s="364" t="s">
        <v>34</v>
      </c>
      <c r="P20" s="364" t="s">
        <v>34</v>
      </c>
      <c r="Q20" s="364" t="s">
        <v>34</v>
      </c>
    </row>
    <row r="21" spans="1:17" ht="12" customHeight="1">
      <c r="A21" s="1">
        <f t="shared" si="0"/>
        <v>2011</v>
      </c>
      <c r="B21" s="364">
        <v>2.58</v>
      </c>
      <c r="C21" s="364">
        <v>1.47</v>
      </c>
      <c r="D21" s="364">
        <v>1.248</v>
      </c>
      <c r="E21" s="364">
        <v>1.145</v>
      </c>
      <c r="F21" s="364">
        <v>1.095</v>
      </c>
      <c r="G21" s="364">
        <v>1.0580000000000001</v>
      </c>
      <c r="H21" s="364">
        <v>1.0409999999999999</v>
      </c>
      <c r="I21" s="364">
        <v>1.028</v>
      </c>
      <c r="J21" s="364">
        <v>1.018</v>
      </c>
      <c r="K21" s="364" t="s">
        <v>34</v>
      </c>
      <c r="L21" s="364" t="s">
        <v>34</v>
      </c>
      <c r="M21" s="364" t="s">
        <v>34</v>
      </c>
      <c r="N21" s="364" t="s">
        <v>34</v>
      </c>
      <c r="O21" s="364" t="s">
        <v>34</v>
      </c>
      <c r="P21" s="364" t="s">
        <v>34</v>
      </c>
      <c r="Q21" s="364" t="s">
        <v>34</v>
      </c>
    </row>
    <row r="22" spans="1:17" ht="12" customHeight="1">
      <c r="A22" s="1">
        <f t="shared" si="0"/>
        <v>2012</v>
      </c>
      <c r="B22" s="364">
        <v>2.5609999999999999</v>
      </c>
      <c r="C22" s="364">
        <v>1.468</v>
      </c>
      <c r="D22" s="364">
        <v>1.2470000000000001</v>
      </c>
      <c r="E22" s="364">
        <v>1.143</v>
      </c>
      <c r="F22" s="364">
        <v>1.087</v>
      </c>
      <c r="G22" s="364">
        <v>1.056</v>
      </c>
      <c r="H22" s="364">
        <v>1.0389999999999999</v>
      </c>
      <c r="I22" s="364">
        <v>1.0229999999999999</v>
      </c>
      <c r="J22" s="364" t="s">
        <v>34</v>
      </c>
      <c r="K22" s="364" t="s">
        <v>34</v>
      </c>
      <c r="L22" s="364" t="s">
        <v>34</v>
      </c>
      <c r="M22" s="364" t="s">
        <v>34</v>
      </c>
      <c r="N22" s="364" t="s">
        <v>34</v>
      </c>
      <c r="O22" s="364" t="s">
        <v>34</v>
      </c>
      <c r="P22" s="364" t="s">
        <v>34</v>
      </c>
      <c r="Q22" s="364" t="s">
        <v>34</v>
      </c>
    </row>
    <row r="23" spans="1:17" ht="12" customHeight="1">
      <c r="A23" s="1">
        <f t="shared" si="0"/>
        <v>2013</v>
      </c>
      <c r="B23" s="364">
        <v>2.492</v>
      </c>
      <c r="C23" s="364">
        <v>1.464</v>
      </c>
      <c r="D23" s="364">
        <v>1.238</v>
      </c>
      <c r="E23" s="364">
        <v>1.1299999999999999</v>
      </c>
      <c r="F23" s="364">
        <v>1.077</v>
      </c>
      <c r="G23" s="364">
        <v>1.048</v>
      </c>
      <c r="H23" s="364">
        <v>1.0289999999999999</v>
      </c>
      <c r="I23" s="364" t="s">
        <v>34</v>
      </c>
      <c r="J23" s="364" t="s">
        <v>34</v>
      </c>
      <c r="K23" s="364" t="s">
        <v>34</v>
      </c>
      <c r="L23" s="364" t="s">
        <v>34</v>
      </c>
      <c r="M23" s="364" t="s">
        <v>34</v>
      </c>
      <c r="N23" s="364" t="s">
        <v>34</v>
      </c>
      <c r="O23" s="364" t="s">
        <v>34</v>
      </c>
      <c r="P23" s="364" t="s">
        <v>34</v>
      </c>
      <c r="Q23" s="364" t="s">
        <v>34</v>
      </c>
    </row>
    <row r="24" spans="1:17" ht="12" customHeight="1">
      <c r="A24" s="1">
        <f t="shared" si="0"/>
        <v>2014</v>
      </c>
      <c r="B24" s="364">
        <v>2.5179999999999998</v>
      </c>
      <c r="C24" s="364">
        <v>1.462</v>
      </c>
      <c r="D24" s="364">
        <v>1.226</v>
      </c>
      <c r="E24" s="364">
        <v>1.121</v>
      </c>
      <c r="F24" s="364">
        <v>1.0760000000000001</v>
      </c>
      <c r="G24" s="364">
        <v>1.0429999999999999</v>
      </c>
      <c r="H24" s="364" t="s">
        <v>34</v>
      </c>
      <c r="I24" s="364" t="s">
        <v>34</v>
      </c>
      <c r="J24" s="364" t="s">
        <v>34</v>
      </c>
      <c r="K24" s="364" t="s">
        <v>34</v>
      </c>
      <c r="L24" s="364" t="s">
        <v>34</v>
      </c>
      <c r="M24" s="364" t="s">
        <v>34</v>
      </c>
      <c r="N24" s="364" t="s">
        <v>34</v>
      </c>
      <c r="O24" s="364" t="s">
        <v>34</v>
      </c>
      <c r="P24" s="364" t="s">
        <v>34</v>
      </c>
      <c r="Q24" s="364" t="s">
        <v>34</v>
      </c>
    </row>
    <row r="25" spans="1:17" ht="12" customHeight="1">
      <c r="A25" s="1">
        <f t="shared" si="0"/>
        <v>2015</v>
      </c>
      <c r="B25" s="364">
        <v>2.5329999999999999</v>
      </c>
      <c r="C25" s="364">
        <v>1.4390000000000001</v>
      </c>
      <c r="D25" s="364">
        <v>1.218</v>
      </c>
      <c r="E25" s="364">
        <v>1.111</v>
      </c>
      <c r="F25" s="364">
        <v>1.0620000000000001</v>
      </c>
      <c r="G25" s="364" t="s">
        <v>34</v>
      </c>
      <c r="H25" s="364" t="s">
        <v>34</v>
      </c>
      <c r="I25" s="364" t="s">
        <v>34</v>
      </c>
      <c r="J25" s="364" t="s">
        <v>34</v>
      </c>
      <c r="K25" s="364" t="s">
        <v>34</v>
      </c>
      <c r="L25" s="364" t="s">
        <v>34</v>
      </c>
      <c r="M25" s="364" t="s">
        <v>34</v>
      </c>
      <c r="N25" s="364" t="s">
        <v>34</v>
      </c>
      <c r="O25" s="364" t="s">
        <v>34</v>
      </c>
      <c r="P25" s="364" t="s">
        <v>34</v>
      </c>
      <c r="Q25" s="364" t="s">
        <v>34</v>
      </c>
    </row>
    <row r="26" spans="1:17" ht="12" customHeight="1">
      <c r="A26" s="1">
        <f t="shared" si="0"/>
        <v>2016</v>
      </c>
      <c r="B26" s="364">
        <v>2.48</v>
      </c>
      <c r="C26" s="364">
        <v>1.41</v>
      </c>
      <c r="D26" s="364">
        <v>1.196</v>
      </c>
      <c r="E26" s="364">
        <v>1.099</v>
      </c>
      <c r="F26" s="364" t="s">
        <v>34</v>
      </c>
      <c r="G26" s="364" t="s">
        <v>34</v>
      </c>
      <c r="H26" s="364" t="s">
        <v>34</v>
      </c>
      <c r="I26" s="364" t="s">
        <v>34</v>
      </c>
      <c r="J26" s="364" t="s">
        <v>34</v>
      </c>
      <c r="K26" s="364" t="s">
        <v>34</v>
      </c>
      <c r="L26" s="364" t="s">
        <v>34</v>
      </c>
      <c r="M26" s="364" t="s">
        <v>34</v>
      </c>
      <c r="N26" s="364" t="s">
        <v>34</v>
      </c>
      <c r="O26" s="364" t="s">
        <v>34</v>
      </c>
      <c r="P26" s="364" t="s">
        <v>34</v>
      </c>
      <c r="Q26" s="364" t="s">
        <v>34</v>
      </c>
    </row>
    <row r="27" spans="1:17" ht="12" customHeight="1">
      <c r="A27" s="1">
        <f t="shared" si="0"/>
        <v>2017</v>
      </c>
      <c r="B27" s="364">
        <v>2.3730000000000002</v>
      </c>
      <c r="C27" s="364">
        <v>1.391</v>
      </c>
      <c r="D27" s="364">
        <v>1.1779999999999999</v>
      </c>
      <c r="E27" s="364" t="s">
        <v>34</v>
      </c>
      <c r="F27" s="364" t="s">
        <v>34</v>
      </c>
      <c r="G27" s="364" t="s">
        <v>34</v>
      </c>
      <c r="H27" s="364" t="s">
        <v>34</v>
      </c>
      <c r="I27" s="364" t="s">
        <v>34</v>
      </c>
      <c r="J27" s="364" t="s">
        <v>34</v>
      </c>
      <c r="K27" s="364" t="s">
        <v>34</v>
      </c>
      <c r="L27" s="364" t="s">
        <v>34</v>
      </c>
      <c r="M27" s="364" t="s">
        <v>34</v>
      </c>
      <c r="N27" s="364" t="s">
        <v>34</v>
      </c>
      <c r="O27" s="364" t="s">
        <v>34</v>
      </c>
      <c r="P27" s="364" t="s">
        <v>34</v>
      </c>
      <c r="Q27" s="364" t="s">
        <v>34</v>
      </c>
    </row>
    <row r="28" spans="1:17" ht="12" customHeight="1">
      <c r="A28" s="1">
        <f t="shared" si="0"/>
        <v>2018</v>
      </c>
      <c r="B28" s="364">
        <v>2.3780000000000001</v>
      </c>
      <c r="C28" s="364">
        <v>1.3779999999999999</v>
      </c>
      <c r="D28" s="364" t="s">
        <v>34</v>
      </c>
      <c r="E28" s="364" t="s">
        <v>34</v>
      </c>
      <c r="F28" s="364" t="s">
        <v>34</v>
      </c>
      <c r="G28" s="364" t="s">
        <v>34</v>
      </c>
      <c r="H28" s="364" t="s">
        <v>34</v>
      </c>
      <c r="I28" s="364" t="s">
        <v>34</v>
      </c>
      <c r="J28" s="364" t="s">
        <v>34</v>
      </c>
      <c r="K28" s="364" t="s">
        <v>34</v>
      </c>
      <c r="L28" s="364" t="s">
        <v>34</v>
      </c>
      <c r="M28" s="364" t="s">
        <v>34</v>
      </c>
      <c r="N28" s="364" t="s">
        <v>34</v>
      </c>
      <c r="O28" s="364" t="s">
        <v>34</v>
      </c>
      <c r="P28" s="364" t="s">
        <v>34</v>
      </c>
      <c r="Q28" s="364" t="s">
        <v>34</v>
      </c>
    </row>
    <row r="29" spans="1:17" ht="12" customHeight="1">
      <c r="A29" s="1">
        <f>'Exhibit 2.3.1'!A29</f>
        <v>2019</v>
      </c>
      <c r="B29" s="364">
        <v>2.347</v>
      </c>
      <c r="C29" s="364" t="s">
        <v>34</v>
      </c>
      <c r="D29" s="364" t="s">
        <v>34</v>
      </c>
      <c r="E29" s="364" t="s">
        <v>34</v>
      </c>
      <c r="F29" s="364" t="s">
        <v>34</v>
      </c>
      <c r="G29" s="364" t="s">
        <v>34</v>
      </c>
      <c r="H29" s="364" t="s">
        <v>34</v>
      </c>
      <c r="I29" s="364" t="s">
        <v>34</v>
      </c>
      <c r="J29" s="364" t="s">
        <v>34</v>
      </c>
      <c r="K29" s="364" t="s">
        <v>34</v>
      </c>
      <c r="L29" s="364" t="s">
        <v>34</v>
      </c>
      <c r="M29" s="364" t="s">
        <v>34</v>
      </c>
      <c r="N29" s="364" t="s">
        <v>34</v>
      </c>
      <c r="O29" s="364" t="s">
        <v>34</v>
      </c>
      <c r="P29" s="364" t="s">
        <v>34</v>
      </c>
      <c r="Q29" s="364" t="s">
        <v>34</v>
      </c>
    </row>
    <row r="30" spans="1:17" ht="12" customHeight="1">
      <c r="A30" s="17"/>
      <c r="B30" s="17"/>
      <c r="C30" s="17"/>
      <c r="D30" s="17"/>
      <c r="E30" s="17"/>
      <c r="F30" s="17"/>
      <c r="G30" s="17"/>
      <c r="H30" s="17"/>
      <c r="I30" s="17"/>
      <c r="J30" s="17"/>
      <c r="K30" s="17"/>
      <c r="L30" s="17"/>
      <c r="M30" s="17"/>
      <c r="N30" s="17"/>
      <c r="O30" s="17"/>
      <c r="P30" s="17"/>
    </row>
    <row r="31" spans="1:17" ht="12" customHeight="1">
      <c r="A31" s="1" t="s">
        <v>59</v>
      </c>
      <c r="B31" s="246" t="s">
        <v>18</v>
      </c>
      <c r="C31" s="246"/>
      <c r="D31" s="246"/>
      <c r="E31" s="246"/>
      <c r="F31" s="246"/>
      <c r="G31" s="246"/>
      <c r="H31" s="246"/>
      <c r="I31" s="246"/>
      <c r="J31" s="246"/>
      <c r="K31" s="246"/>
      <c r="L31" s="246"/>
      <c r="M31" s="246"/>
      <c r="N31" s="246"/>
      <c r="O31" s="246"/>
      <c r="P31" s="246"/>
      <c r="Q31" s="246"/>
    </row>
    <row r="32" spans="1:17" ht="12" customHeight="1">
      <c r="A32" s="11" t="s">
        <v>19</v>
      </c>
      <c r="B32" s="11" t="str">
        <f>B$4</f>
        <v>24/12</v>
      </c>
      <c r="C32" s="11" t="str">
        <f t="shared" ref="C32:Q32" si="1">C$4</f>
        <v>36/24</v>
      </c>
      <c r="D32" s="11" t="str">
        <f t="shared" si="1"/>
        <v>48/36</v>
      </c>
      <c r="E32" s="11" t="str">
        <f t="shared" si="1"/>
        <v>60/48</v>
      </c>
      <c r="F32" s="11" t="str">
        <f t="shared" si="1"/>
        <v>72/60</v>
      </c>
      <c r="G32" s="11" t="str">
        <f t="shared" si="1"/>
        <v>84/72</v>
      </c>
      <c r="H32" s="11" t="str">
        <f t="shared" si="1"/>
        <v>96/84</v>
      </c>
      <c r="I32" s="11" t="str">
        <f t="shared" si="1"/>
        <v>108/96</v>
      </c>
      <c r="J32" s="11" t="str">
        <f t="shared" si="1"/>
        <v>120/108</v>
      </c>
      <c r="K32" s="11" t="str">
        <f t="shared" si="1"/>
        <v>132/120</v>
      </c>
      <c r="L32" s="11" t="str">
        <f t="shared" si="1"/>
        <v>144/132</v>
      </c>
      <c r="M32" s="11" t="str">
        <f t="shared" si="1"/>
        <v>156/144</v>
      </c>
      <c r="N32" s="11" t="str">
        <f t="shared" si="1"/>
        <v>168/156</v>
      </c>
      <c r="O32" s="11" t="str">
        <f t="shared" si="1"/>
        <v>180/168</v>
      </c>
      <c r="P32" s="11" t="str">
        <f t="shared" si="1"/>
        <v>192/180</v>
      </c>
      <c r="Q32" s="11" t="str">
        <f t="shared" si="1"/>
        <v>204/192</v>
      </c>
    </row>
    <row r="33" spans="1:17" ht="12" customHeight="1">
      <c r="A33" s="12">
        <f t="shared" ref="A33:A50" si="2">+A12</f>
        <v>2002</v>
      </c>
      <c r="B33" s="363"/>
      <c r="C33" s="363"/>
      <c r="D33" s="363"/>
      <c r="E33" s="363"/>
      <c r="F33" s="363"/>
      <c r="G33" s="363"/>
      <c r="H33" s="363"/>
      <c r="I33" s="363"/>
      <c r="J33" s="363"/>
      <c r="K33" s="363"/>
      <c r="L33" s="363"/>
      <c r="M33" s="363"/>
      <c r="N33" s="363"/>
      <c r="O33" s="363"/>
      <c r="P33" s="363"/>
      <c r="Q33" s="364">
        <v>1.0109999999999999</v>
      </c>
    </row>
    <row r="34" spans="1:17" ht="12" customHeight="1">
      <c r="A34" s="12">
        <f t="shared" si="2"/>
        <v>2003</v>
      </c>
      <c r="B34" s="364"/>
      <c r="C34" s="364"/>
      <c r="D34" s="364"/>
      <c r="E34" s="364"/>
      <c r="F34" s="364"/>
      <c r="G34" s="364"/>
      <c r="H34" s="364"/>
      <c r="I34" s="364"/>
      <c r="J34" s="364"/>
      <c r="K34" s="364"/>
      <c r="L34" s="364"/>
      <c r="M34" s="364"/>
      <c r="N34" s="364"/>
      <c r="O34" s="364"/>
      <c r="P34" s="364">
        <v>1.0129999999999999</v>
      </c>
      <c r="Q34" s="364">
        <v>1.0109999999999999</v>
      </c>
    </row>
    <row r="35" spans="1:17" ht="12" customHeight="1">
      <c r="A35" s="12">
        <f t="shared" si="2"/>
        <v>2004</v>
      </c>
      <c r="B35" s="364"/>
      <c r="C35" s="364"/>
      <c r="D35" s="364"/>
      <c r="E35" s="364"/>
      <c r="F35" s="364"/>
      <c r="G35" s="364"/>
      <c r="H35" s="364"/>
      <c r="I35" s="364"/>
      <c r="J35" s="364"/>
      <c r="K35" s="364"/>
      <c r="L35" s="364"/>
      <c r="M35" s="364"/>
      <c r="N35" s="364"/>
      <c r="O35" s="364">
        <v>1.0129999999999999</v>
      </c>
      <c r="P35" s="364">
        <v>1.014</v>
      </c>
      <c r="Q35" s="364">
        <v>1.01</v>
      </c>
    </row>
    <row r="36" spans="1:17" ht="12" customHeight="1">
      <c r="A36" s="12">
        <f t="shared" si="2"/>
        <v>2005</v>
      </c>
      <c r="B36" s="364"/>
      <c r="C36" s="364"/>
      <c r="D36" s="364"/>
      <c r="E36" s="364"/>
      <c r="F36" s="364"/>
      <c r="G36" s="364"/>
      <c r="H36" s="364"/>
      <c r="I36" s="364"/>
      <c r="J36" s="364"/>
      <c r="K36" s="364"/>
      <c r="L36" s="364"/>
      <c r="M36" s="364"/>
      <c r="N36" s="364">
        <v>1.016</v>
      </c>
      <c r="O36" s="364">
        <v>1.0149999999999999</v>
      </c>
      <c r="P36" s="364">
        <v>1.0129999999999999</v>
      </c>
      <c r="Q36" s="364"/>
    </row>
    <row r="37" spans="1:17" ht="12" customHeight="1">
      <c r="A37" s="12">
        <f t="shared" si="2"/>
        <v>2006</v>
      </c>
      <c r="B37" s="364"/>
      <c r="C37" s="364"/>
      <c r="D37" s="364"/>
      <c r="E37" s="364"/>
      <c r="F37" s="364"/>
      <c r="G37" s="364"/>
      <c r="H37" s="364"/>
      <c r="I37" s="364"/>
      <c r="J37" s="364"/>
      <c r="K37" s="364"/>
      <c r="L37" s="364"/>
      <c r="M37" s="364">
        <v>1.0169999999999999</v>
      </c>
      <c r="N37" s="364">
        <v>1.016</v>
      </c>
      <c r="O37" s="364">
        <v>1.012</v>
      </c>
      <c r="P37" s="364"/>
      <c r="Q37" s="364"/>
    </row>
    <row r="38" spans="1:17" ht="12" customHeight="1">
      <c r="A38" s="12">
        <f t="shared" si="2"/>
        <v>2007</v>
      </c>
      <c r="B38" s="364"/>
      <c r="C38" s="364"/>
      <c r="D38" s="364"/>
      <c r="E38" s="364"/>
      <c r="F38" s="364"/>
      <c r="G38" s="364"/>
      <c r="H38" s="364"/>
      <c r="I38" s="364"/>
      <c r="J38" s="364"/>
      <c r="K38" s="364"/>
      <c r="L38" s="364">
        <v>1.022</v>
      </c>
      <c r="M38" s="364">
        <v>1.016</v>
      </c>
      <c r="N38" s="364">
        <v>1.014</v>
      </c>
      <c r="O38" s="364"/>
      <c r="P38" s="364"/>
      <c r="Q38" s="364"/>
    </row>
    <row r="39" spans="1:17" ht="12" customHeight="1">
      <c r="A39" s="12">
        <f t="shared" si="2"/>
        <v>2008</v>
      </c>
      <c r="B39" s="364"/>
      <c r="C39" s="364"/>
      <c r="D39" s="364"/>
      <c r="E39" s="364"/>
      <c r="F39" s="364"/>
      <c r="G39" s="364"/>
      <c r="H39" s="364"/>
      <c r="I39" s="364"/>
      <c r="J39" s="364"/>
      <c r="K39" s="364">
        <v>1.02</v>
      </c>
      <c r="L39" s="364">
        <v>1.018</v>
      </c>
      <c r="M39" s="364">
        <v>1.0129999999999999</v>
      </c>
      <c r="N39" s="364"/>
      <c r="O39" s="364"/>
      <c r="P39" s="364"/>
      <c r="Q39" s="364"/>
    </row>
    <row r="40" spans="1:17" ht="12" customHeight="1">
      <c r="A40" s="12">
        <f t="shared" si="2"/>
        <v>2009</v>
      </c>
      <c r="B40" s="364"/>
      <c r="C40" s="364"/>
      <c r="D40" s="364"/>
      <c r="E40" s="364"/>
      <c r="F40" s="364"/>
      <c r="G40" s="364"/>
      <c r="H40" s="364"/>
      <c r="I40" s="364"/>
      <c r="J40" s="364">
        <v>1.026</v>
      </c>
      <c r="K40" s="364">
        <v>1.0209999999999999</v>
      </c>
      <c r="L40" s="364">
        <v>1.014</v>
      </c>
      <c r="M40" s="364"/>
      <c r="N40" s="364"/>
      <c r="O40" s="364"/>
      <c r="P40" s="364"/>
      <c r="Q40" s="364"/>
    </row>
    <row r="41" spans="1:17" ht="12" customHeight="1">
      <c r="A41" s="12">
        <f t="shared" si="2"/>
        <v>2010</v>
      </c>
      <c r="B41" s="364"/>
      <c r="C41" s="364"/>
      <c r="D41" s="364"/>
      <c r="E41" s="364"/>
      <c r="F41" s="364"/>
      <c r="G41" s="364"/>
      <c r="H41" s="364"/>
      <c r="I41" s="364">
        <v>1.032</v>
      </c>
      <c r="J41" s="364">
        <v>1.026</v>
      </c>
      <c r="K41" s="364">
        <v>1.0189999999999999</v>
      </c>
      <c r="L41" s="364"/>
      <c r="M41" s="364"/>
      <c r="N41" s="364"/>
      <c r="O41" s="364"/>
      <c r="P41" s="364"/>
      <c r="Q41" s="364"/>
    </row>
    <row r="42" spans="1:17" ht="12" customHeight="1">
      <c r="A42" s="12">
        <f t="shared" si="2"/>
        <v>2011</v>
      </c>
      <c r="B42" s="364"/>
      <c r="C42" s="364"/>
      <c r="D42" s="364"/>
      <c r="E42" s="364"/>
      <c r="F42" s="364"/>
      <c r="G42" s="364"/>
      <c r="H42" s="364">
        <v>1.0469999999999999</v>
      </c>
      <c r="I42" s="364">
        <v>1.0309999999999999</v>
      </c>
      <c r="J42" s="364">
        <v>1.02</v>
      </c>
      <c r="K42" s="364"/>
      <c r="L42" s="364"/>
      <c r="M42" s="364"/>
      <c r="N42" s="364"/>
      <c r="O42" s="364"/>
      <c r="P42" s="364"/>
      <c r="Q42" s="364"/>
    </row>
    <row r="43" spans="1:17" ht="12" customHeight="1">
      <c r="A43" s="12">
        <f t="shared" si="2"/>
        <v>2012</v>
      </c>
      <c r="B43" s="364"/>
      <c r="C43" s="364"/>
      <c r="D43" s="364"/>
      <c r="E43" s="364"/>
      <c r="F43" s="364"/>
      <c r="G43" s="364">
        <v>1.0629999999999999</v>
      </c>
      <c r="H43" s="364">
        <v>1.0429999999999999</v>
      </c>
      <c r="I43" s="364">
        <v>1.0249999999999999</v>
      </c>
      <c r="J43" s="364"/>
      <c r="K43" s="364"/>
      <c r="L43" s="364"/>
      <c r="M43" s="364"/>
      <c r="N43" s="364"/>
      <c r="O43" s="364"/>
      <c r="P43" s="364"/>
      <c r="Q43" s="364"/>
    </row>
    <row r="44" spans="1:17" ht="12" customHeight="1">
      <c r="A44" s="12">
        <f t="shared" si="2"/>
        <v>2013</v>
      </c>
      <c r="B44" s="364"/>
      <c r="C44" s="364"/>
      <c r="D44" s="364"/>
      <c r="E44" s="364"/>
      <c r="F44" s="364">
        <v>1.085</v>
      </c>
      <c r="G44" s="364">
        <v>1.052</v>
      </c>
      <c r="H44" s="364">
        <v>1.0309999999999999</v>
      </c>
      <c r="I44" s="364"/>
      <c r="J44" s="364"/>
      <c r="K44" s="364"/>
      <c r="L44" s="364"/>
      <c r="M44" s="364"/>
      <c r="N44" s="364"/>
      <c r="O44" s="364"/>
      <c r="P44" s="364"/>
      <c r="Q44" s="364"/>
    </row>
    <row r="45" spans="1:17" ht="12" customHeight="1">
      <c r="A45" s="12">
        <f t="shared" si="2"/>
        <v>2014</v>
      </c>
      <c r="B45" s="364"/>
      <c r="C45" s="364"/>
      <c r="D45" s="364"/>
      <c r="E45" s="364">
        <v>1.131</v>
      </c>
      <c r="F45" s="364">
        <v>1.08</v>
      </c>
      <c r="G45" s="364">
        <v>1.0449999999999999</v>
      </c>
      <c r="H45" s="364"/>
      <c r="I45" s="364"/>
      <c r="J45" s="364"/>
      <c r="K45" s="364"/>
      <c r="L45" s="364"/>
      <c r="M45" s="364"/>
      <c r="N45" s="364"/>
      <c r="O45" s="364"/>
      <c r="P45" s="364"/>
      <c r="Q45" s="364"/>
    </row>
    <row r="46" spans="1:17" ht="12" customHeight="1">
      <c r="A46" s="12">
        <f t="shared" si="2"/>
        <v>2015</v>
      </c>
      <c r="B46" s="364"/>
      <c r="C46" s="364"/>
      <c r="D46" s="364">
        <v>1.226</v>
      </c>
      <c r="E46" s="364">
        <v>1.1140000000000001</v>
      </c>
      <c r="F46" s="364">
        <v>1.0640000000000001</v>
      </c>
      <c r="G46" s="364"/>
      <c r="H46" s="364"/>
      <c r="I46" s="364"/>
      <c r="J46" s="364"/>
      <c r="K46" s="364"/>
      <c r="L46" s="364"/>
      <c r="M46" s="364"/>
      <c r="N46" s="364"/>
      <c r="O46" s="364"/>
      <c r="P46" s="364"/>
      <c r="Q46" s="364"/>
    </row>
    <row r="47" spans="1:17" ht="12" customHeight="1">
      <c r="A47" s="1">
        <f t="shared" si="2"/>
        <v>2016</v>
      </c>
      <c r="B47" s="21"/>
      <c r="C47" s="21">
        <v>1.417</v>
      </c>
      <c r="D47" s="21">
        <v>1.1990000000000001</v>
      </c>
      <c r="E47" s="21">
        <v>1.1000000000000001</v>
      </c>
      <c r="F47" s="21"/>
      <c r="G47" s="21"/>
      <c r="H47" s="21"/>
      <c r="I47" s="21"/>
      <c r="J47" s="21"/>
      <c r="K47" s="21"/>
      <c r="L47" s="21"/>
      <c r="M47" s="21"/>
      <c r="N47" s="21"/>
      <c r="O47" s="21"/>
      <c r="P47" s="21"/>
      <c r="Q47" s="21"/>
    </row>
    <row r="48" spans="1:17" ht="12" customHeight="1">
      <c r="A48" s="1">
        <f t="shared" si="2"/>
        <v>2017</v>
      </c>
      <c r="B48" s="21">
        <v>2.3860000000000001</v>
      </c>
      <c r="C48" s="21">
        <v>1.393</v>
      </c>
      <c r="D48" s="21">
        <v>1.1779999999999999</v>
      </c>
      <c r="E48" s="21"/>
      <c r="F48" s="21"/>
      <c r="G48" s="21"/>
      <c r="H48" s="21"/>
      <c r="I48" s="21"/>
      <c r="J48" s="21"/>
      <c r="K48" s="21"/>
      <c r="L48" s="21"/>
      <c r="M48" s="21"/>
      <c r="N48" s="21"/>
      <c r="O48" s="21"/>
      <c r="P48" s="21"/>
      <c r="Q48" s="21"/>
    </row>
    <row r="49" spans="1:17" ht="12" customHeight="1">
      <c r="A49" s="1">
        <f t="shared" si="2"/>
        <v>2018</v>
      </c>
      <c r="B49" s="21">
        <v>2.3780000000000001</v>
      </c>
      <c r="C49" s="21">
        <v>1.3779999999999999</v>
      </c>
      <c r="D49" s="21"/>
      <c r="E49" s="21"/>
      <c r="F49" s="21"/>
      <c r="G49" s="21"/>
      <c r="H49" s="21"/>
      <c r="I49" s="21"/>
      <c r="J49" s="21"/>
      <c r="K49" s="21"/>
      <c r="L49" s="21"/>
      <c r="M49" s="21"/>
      <c r="N49" s="21"/>
      <c r="O49" s="21"/>
      <c r="P49" s="21"/>
      <c r="Q49" s="21"/>
    </row>
    <row r="50" spans="1:17" ht="12" customHeight="1">
      <c r="A50" s="1">
        <f t="shared" si="2"/>
        <v>2019</v>
      </c>
      <c r="B50" s="21">
        <v>2.347</v>
      </c>
      <c r="C50" s="21"/>
      <c r="D50" s="21"/>
      <c r="E50" s="21"/>
      <c r="F50" s="21"/>
      <c r="G50" s="21"/>
      <c r="H50" s="21"/>
      <c r="I50" s="21"/>
      <c r="J50" s="21"/>
      <c r="K50" s="21"/>
      <c r="L50" s="21"/>
      <c r="M50" s="21"/>
      <c r="N50" s="21"/>
      <c r="O50" s="21"/>
      <c r="P50" s="21"/>
      <c r="Q50" s="21"/>
    </row>
    <row r="51" spans="1:17">
      <c r="A51" s="1"/>
      <c r="B51" s="1"/>
      <c r="C51" s="16"/>
      <c r="D51" s="16"/>
      <c r="E51" s="16"/>
      <c r="F51" s="16"/>
      <c r="G51" s="16"/>
      <c r="H51" s="16"/>
      <c r="I51" s="17"/>
      <c r="J51" s="17"/>
      <c r="K51" s="17"/>
      <c r="L51" s="17"/>
      <c r="M51" s="17"/>
      <c r="N51" s="17"/>
      <c r="O51" s="17"/>
      <c r="P51" s="17"/>
      <c r="Q51" s="110"/>
    </row>
    <row r="52" spans="1:17">
      <c r="A52" s="1" t="s">
        <v>36</v>
      </c>
      <c r="B52" s="16">
        <f ca="1">OFFSET(B$51,-COUNTA($B$4:B$4),0)</f>
        <v>2.347</v>
      </c>
      <c r="C52" s="16">
        <f>C49</f>
        <v>1.3779999999999999</v>
      </c>
      <c r="D52" s="16">
        <f>D48</f>
        <v>1.1779999999999999</v>
      </c>
      <c r="E52" s="16">
        <f>E47</f>
        <v>1.1000000000000001</v>
      </c>
      <c r="F52" s="16">
        <f>F46</f>
        <v>1.0640000000000001</v>
      </c>
      <c r="G52" s="16">
        <f>G45</f>
        <v>1.0449999999999999</v>
      </c>
      <c r="H52" s="16">
        <f>H44</f>
        <v>1.0309999999999999</v>
      </c>
      <c r="I52" s="16">
        <f>I43</f>
        <v>1.0249999999999999</v>
      </c>
      <c r="J52" s="16">
        <f>AVERAGE(J40:J42)</f>
        <v>1.024</v>
      </c>
      <c r="K52" s="16">
        <f>AVERAGE(K39:K41)</f>
        <v>1.0199999999999998</v>
      </c>
      <c r="L52" s="16">
        <f>AVERAGE(L38:L40)</f>
        <v>1.018</v>
      </c>
      <c r="M52" s="16">
        <f>AVERAGE(M37:M39)</f>
        <v>1.0153333333333332</v>
      </c>
      <c r="N52" s="16">
        <f>AVERAGE(N36:N38)</f>
        <v>1.0153333333333334</v>
      </c>
      <c r="O52" s="16">
        <f>AVERAGE(O35:O37)</f>
        <v>1.0133333333333332</v>
      </c>
      <c r="P52" s="16">
        <f>AVERAGE(P34:P36)</f>
        <v>1.0133333333333334</v>
      </c>
      <c r="Q52" s="16">
        <f>AVERAGE(Q33:Q35)</f>
        <v>1.0106666666666666</v>
      </c>
    </row>
    <row r="53" spans="1:17">
      <c r="A53" s="1"/>
      <c r="B53" s="16"/>
      <c r="C53" s="16"/>
      <c r="D53" s="16"/>
      <c r="E53" s="16"/>
      <c r="F53" s="16"/>
      <c r="G53" s="16"/>
      <c r="H53" s="16"/>
      <c r="I53" s="16"/>
      <c r="J53" s="16"/>
      <c r="K53" s="16"/>
      <c r="L53" s="16"/>
      <c r="M53" s="16"/>
      <c r="N53" s="16"/>
      <c r="O53" s="16"/>
      <c r="P53" s="16"/>
      <c r="Q53" s="16"/>
    </row>
    <row r="54" spans="1:17">
      <c r="A54" s="22" t="s">
        <v>246</v>
      </c>
      <c r="B54" s="16"/>
      <c r="C54" s="16"/>
      <c r="D54" s="16"/>
      <c r="E54" s="16"/>
      <c r="F54" s="16"/>
      <c r="G54" s="16"/>
      <c r="H54" s="16"/>
      <c r="I54" s="16"/>
      <c r="J54" s="16"/>
      <c r="K54" s="16"/>
      <c r="L54" s="16"/>
      <c r="M54" s="16"/>
      <c r="N54" s="16"/>
      <c r="O54" s="16"/>
      <c r="P54" s="16"/>
      <c r="Q54" s="16"/>
    </row>
    <row r="55" spans="1:17">
      <c r="A55" s="341" t="s">
        <v>330</v>
      </c>
      <c r="B55" s="16">
        <f t="shared" ref="B55:O55" ca="1" si="3">C55*B52</f>
        <v>6.7024591281163088</v>
      </c>
      <c r="C55" s="16">
        <f t="shared" si="3"/>
        <v>2.8557559131300847</v>
      </c>
      <c r="D55" s="16">
        <f t="shared" si="3"/>
        <v>2.0723918092380877</v>
      </c>
      <c r="E55" s="16">
        <f t="shared" si="3"/>
        <v>1.7592460180289371</v>
      </c>
      <c r="F55" s="16">
        <f t="shared" si="3"/>
        <v>1.5993145618444882</v>
      </c>
      <c r="G55" s="16">
        <f t="shared" si="3"/>
        <v>1.5031151897034662</v>
      </c>
      <c r="H55" s="16">
        <f t="shared" si="3"/>
        <v>1.4383877413430299</v>
      </c>
      <c r="I55" s="16">
        <f t="shared" si="3"/>
        <v>1.3951384494112804</v>
      </c>
      <c r="J55" s="16">
        <f t="shared" si="3"/>
        <v>1.3611106823524688</v>
      </c>
      <c r="K55" s="16">
        <f t="shared" si="3"/>
        <v>1.3292096507348328</v>
      </c>
      <c r="L55" s="16">
        <f t="shared" si="3"/>
        <v>1.303146716406699</v>
      </c>
      <c r="M55" s="16">
        <f t="shared" si="3"/>
        <v>1.2801048294761286</v>
      </c>
      <c r="N55" s="16">
        <f t="shared" si="3"/>
        <v>1.2607729771596803</v>
      </c>
      <c r="O55" s="16">
        <f t="shared" si="3"/>
        <v>1.2417330700850429</v>
      </c>
      <c r="P55" s="16">
        <f>Q55*P52</f>
        <v>1.2253944770576082</v>
      </c>
      <c r="Q55" s="16">
        <f>'Exhibit 2.4.2'!B52*'Exhibit 2.4.1'!Q52</f>
        <v>1.2092708655173763</v>
      </c>
    </row>
    <row r="56" spans="1:17">
      <c r="A56" s="341"/>
      <c r="B56" s="16"/>
      <c r="C56" s="16"/>
      <c r="D56" s="16"/>
      <c r="E56" s="16"/>
      <c r="F56" s="16"/>
      <c r="G56" s="16"/>
      <c r="H56" s="16"/>
      <c r="I56" s="16"/>
      <c r="J56" s="16"/>
      <c r="K56" s="16"/>
      <c r="L56" s="16"/>
      <c r="M56" s="16"/>
      <c r="N56" s="16"/>
      <c r="O56" s="16"/>
      <c r="P56" s="16"/>
      <c r="Q56" s="16"/>
    </row>
    <row r="57" spans="1:17">
      <c r="A57" s="22" t="s">
        <v>332</v>
      </c>
      <c r="B57" s="16"/>
      <c r="C57" s="16"/>
      <c r="D57" s="16"/>
      <c r="E57" s="16"/>
      <c r="F57" s="16"/>
      <c r="G57" s="16"/>
      <c r="H57" s="16"/>
      <c r="I57" s="16"/>
      <c r="J57" s="16"/>
      <c r="K57" s="16"/>
      <c r="L57" s="16"/>
      <c r="M57" s="16"/>
      <c r="N57" s="16"/>
      <c r="O57" s="16"/>
      <c r="P57" s="16"/>
      <c r="Q57" s="16"/>
    </row>
    <row r="58" spans="1:17">
      <c r="A58" s="341" t="s">
        <v>333</v>
      </c>
      <c r="B58" s="376">
        <f ca="1">B52*C55*C69</f>
        <v>6.4851375109741927</v>
      </c>
      <c r="C58" s="376">
        <f>C52*D55*C70</f>
        <v>2.7631604222301629</v>
      </c>
      <c r="D58" s="376">
        <f>D52*E55*C71</f>
        <v>2.0051962425472882</v>
      </c>
      <c r="E58" s="376">
        <f>E52*F55*C72</f>
        <v>1.7022039410418408</v>
      </c>
      <c r="F58" s="376">
        <f>F52*G55*C73</f>
        <v>1.5678266259768197</v>
      </c>
      <c r="G58" s="376">
        <f>G52*H55*C74</f>
        <v>1.4862221795095754</v>
      </c>
      <c r="H58" s="298" t="s">
        <v>32</v>
      </c>
      <c r="I58" s="298" t="s">
        <v>32</v>
      </c>
      <c r="J58" s="298" t="s">
        <v>32</v>
      </c>
      <c r="K58" s="298" t="s">
        <v>32</v>
      </c>
      <c r="L58" s="298" t="s">
        <v>32</v>
      </c>
      <c r="M58" s="298" t="s">
        <v>32</v>
      </c>
      <c r="N58" s="298" t="s">
        <v>32</v>
      </c>
      <c r="O58" s="298" t="s">
        <v>32</v>
      </c>
      <c r="P58" s="298" t="s">
        <v>32</v>
      </c>
      <c r="Q58" s="298" t="s">
        <v>32</v>
      </c>
    </row>
    <row r="59" spans="1:17">
      <c r="A59" s="14"/>
      <c r="B59" s="14"/>
      <c r="C59" s="13"/>
      <c r="D59" s="13"/>
      <c r="E59" s="13"/>
      <c r="F59" s="13"/>
      <c r="G59" s="13"/>
      <c r="H59" s="13"/>
      <c r="I59" s="13"/>
      <c r="J59" s="13"/>
      <c r="K59" s="13"/>
      <c r="L59" s="13"/>
      <c r="M59" s="13"/>
      <c r="N59" s="13"/>
      <c r="O59" s="13"/>
      <c r="P59" s="13"/>
    </row>
    <row r="60" spans="1:17" ht="12.75" customHeight="1">
      <c r="A60" s="9" t="s">
        <v>37</v>
      </c>
      <c r="B60" s="311" t="s">
        <v>302</v>
      </c>
      <c r="C60" s="211"/>
      <c r="D60" s="211"/>
      <c r="E60" s="211"/>
      <c r="F60" s="211"/>
      <c r="G60" s="211"/>
      <c r="H60" s="211"/>
      <c r="I60" s="211"/>
      <c r="J60" s="211"/>
      <c r="K60" s="211"/>
      <c r="L60" s="211"/>
      <c r="M60" s="211"/>
      <c r="N60" s="211"/>
      <c r="O60" s="211"/>
      <c r="P60" s="211"/>
    </row>
    <row r="61" spans="1:17" ht="12.75" customHeight="1">
      <c r="A61" s="9" t="s">
        <v>25</v>
      </c>
      <c r="B61" s="161" t="s">
        <v>462</v>
      </c>
      <c r="C61" s="304"/>
      <c r="D61" s="304"/>
      <c r="E61" s="304"/>
      <c r="F61" s="304"/>
      <c r="G61" s="304"/>
      <c r="H61" s="304"/>
      <c r="I61" s="304"/>
      <c r="J61" s="304"/>
      <c r="K61" s="304"/>
      <c r="L61" s="304"/>
      <c r="M61" s="304"/>
      <c r="N61" s="304"/>
      <c r="O61" s="304"/>
      <c r="P61" s="304"/>
    </row>
    <row r="62" spans="1:17" ht="12.75" customHeight="1">
      <c r="A62" s="9"/>
      <c r="B62" s="161" t="s">
        <v>463</v>
      </c>
      <c r="C62" s="304"/>
      <c r="D62" s="304"/>
      <c r="E62" s="304"/>
      <c r="F62" s="304"/>
      <c r="G62" s="304"/>
      <c r="H62" s="304"/>
      <c r="I62" s="304"/>
      <c r="J62" s="304"/>
      <c r="K62" s="304"/>
      <c r="L62" s="304"/>
      <c r="M62" s="304"/>
      <c r="N62" s="304"/>
      <c r="O62" s="304"/>
      <c r="P62" s="304"/>
    </row>
    <row r="63" spans="1:17" ht="12.75" customHeight="1">
      <c r="A63" s="9" t="s">
        <v>26</v>
      </c>
      <c r="B63" s="161" t="s">
        <v>509</v>
      </c>
      <c r="C63" s="310"/>
      <c r="D63" s="310"/>
      <c r="E63" s="310"/>
      <c r="F63" s="310"/>
      <c r="G63" s="310"/>
      <c r="H63" s="310"/>
      <c r="I63" s="310"/>
      <c r="J63" s="310"/>
      <c r="K63" s="310"/>
      <c r="L63" s="310"/>
      <c r="M63" s="310"/>
      <c r="N63" s="310"/>
      <c r="O63" s="310"/>
      <c r="P63" s="310"/>
    </row>
    <row r="64" spans="1:17" ht="12.75" customHeight="1">
      <c r="A64" s="9" t="s">
        <v>30</v>
      </c>
      <c r="B64" s="36" t="s">
        <v>514</v>
      </c>
      <c r="C64" s="36"/>
      <c r="D64" s="36"/>
      <c r="E64" s="36"/>
      <c r="F64" s="36"/>
      <c r="G64" s="36"/>
      <c r="H64" s="36"/>
      <c r="I64" s="36"/>
      <c r="J64" s="36"/>
      <c r="K64" s="36"/>
      <c r="L64" s="36"/>
      <c r="M64" s="36"/>
      <c r="N64" s="36"/>
      <c r="O64" s="36"/>
      <c r="P64" s="36"/>
    </row>
    <row r="66" spans="1:3">
      <c r="A66" s="349" t="s">
        <v>460</v>
      </c>
    </row>
    <row r="67" spans="1:3">
      <c r="A67" s="435"/>
      <c r="B67" s="129" t="s">
        <v>459</v>
      </c>
      <c r="C67" s="436"/>
    </row>
    <row r="68" spans="1:3">
      <c r="A68" s="441" t="s">
        <v>186</v>
      </c>
      <c r="B68" s="109" t="s">
        <v>256</v>
      </c>
      <c r="C68" s="442" t="s">
        <v>255</v>
      </c>
    </row>
    <row r="69" spans="1:3">
      <c r="A69" s="443">
        <v>2020</v>
      </c>
      <c r="B69" s="476">
        <v>-3.2424161488798675E-2</v>
      </c>
      <c r="C69" s="444">
        <f>1+B69</f>
        <v>0.96757583851120132</v>
      </c>
    </row>
    <row r="70" spans="1:3">
      <c r="A70" s="437">
        <f>A69-1</f>
        <v>2019</v>
      </c>
      <c r="B70" s="477">
        <v>-3.2424161488798675E-2</v>
      </c>
      <c r="C70" s="438">
        <f t="shared" ref="C70:C74" si="4">1+B70</f>
        <v>0.96757583851120132</v>
      </c>
    </row>
    <row r="71" spans="1:3">
      <c r="A71" s="437">
        <f t="shared" ref="A71:A74" si="5">A70-1</f>
        <v>2018</v>
      </c>
      <c r="B71" s="477">
        <v>-3.2424161488798675E-2</v>
      </c>
      <c r="C71" s="438">
        <f t="shared" si="4"/>
        <v>0.96757583851120132</v>
      </c>
    </row>
    <row r="72" spans="1:3">
      <c r="A72" s="437">
        <f t="shared" si="5"/>
        <v>2017</v>
      </c>
      <c r="B72" s="477">
        <v>-3.2424161488798675E-2</v>
      </c>
      <c r="C72" s="438">
        <f t="shared" si="4"/>
        <v>0.96757583851120132</v>
      </c>
    </row>
    <row r="73" spans="1:3">
      <c r="A73" s="437">
        <f t="shared" si="5"/>
        <v>2016</v>
      </c>
      <c r="B73" s="477">
        <v>-1.9688394402758047E-2</v>
      </c>
      <c r="C73" s="438">
        <f t="shared" si="4"/>
        <v>0.98031160559724195</v>
      </c>
    </row>
    <row r="74" spans="1:3">
      <c r="A74" s="439">
        <f t="shared" si="5"/>
        <v>2015</v>
      </c>
      <c r="B74" s="478">
        <v>-1.1238666410671838E-2</v>
      </c>
      <c r="C74" s="440">
        <f t="shared" si="4"/>
        <v>0.98876133358932816</v>
      </c>
    </row>
  </sheetData>
  <printOptions horizontalCentered="1"/>
  <pageMargins left="0.7" right="0.7" top="0.75" bottom="0.75" header="0.3" footer="0.3"/>
  <pageSetup scale="67" orientation="landscape" blackAndWhite="1" r:id="rId1"/>
  <headerFooter scaleWithDoc="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pageSetUpPr fitToPage="1"/>
  </sheetPr>
  <dimension ref="A1:U56"/>
  <sheetViews>
    <sheetView zoomScaleNormal="100" workbookViewId="0"/>
  </sheetViews>
  <sheetFormatPr defaultColWidth="9.1796875" defaultRowHeight="12.5"/>
  <cols>
    <col min="1" max="1" width="12.7265625" style="169" customWidth="1"/>
    <col min="2" max="17" width="7.7265625" style="169" customWidth="1"/>
    <col min="18" max="18" width="7.7265625" style="233" customWidth="1"/>
    <col min="19" max="19" width="7.7265625" style="469" customWidth="1"/>
    <col min="20" max="20" width="7.7265625" style="284" customWidth="1"/>
    <col min="21" max="21" width="13.1796875" style="169" customWidth="1"/>
    <col min="22" max="16384" width="9.1796875" style="169"/>
  </cols>
  <sheetData>
    <row r="1" spans="1:21" ht="15" customHeight="1">
      <c r="A1" s="243" t="s">
        <v>40</v>
      </c>
      <c r="B1" s="243"/>
      <c r="C1" s="243"/>
      <c r="D1" s="243"/>
      <c r="E1" s="243"/>
      <c r="F1" s="243"/>
      <c r="G1" s="243"/>
      <c r="H1" s="243"/>
      <c r="I1" s="243"/>
      <c r="J1" s="243"/>
      <c r="K1" s="243"/>
      <c r="L1" s="243"/>
      <c r="M1" s="243"/>
      <c r="N1" s="243"/>
      <c r="O1" s="243"/>
      <c r="P1" s="243"/>
      <c r="Q1" s="243"/>
      <c r="R1" s="243"/>
      <c r="S1" s="243"/>
      <c r="T1" s="243"/>
      <c r="U1" s="244"/>
    </row>
    <row r="2" spans="1:21">
      <c r="A2" s="17"/>
      <c r="B2" s="17"/>
      <c r="C2" s="17"/>
      <c r="D2" s="17"/>
      <c r="E2" s="17"/>
      <c r="F2" s="17"/>
      <c r="G2" s="17"/>
      <c r="H2" s="17"/>
      <c r="I2" s="17"/>
      <c r="J2" s="17"/>
      <c r="K2" s="17"/>
      <c r="L2" s="17"/>
      <c r="M2" s="17"/>
      <c r="N2" s="17"/>
      <c r="O2" s="17"/>
      <c r="P2" s="17"/>
      <c r="Q2" s="17"/>
      <c r="R2" s="17"/>
      <c r="S2" s="472"/>
      <c r="T2" s="17"/>
      <c r="U2" s="17"/>
    </row>
    <row r="3" spans="1:21" ht="14.5">
      <c r="A3" s="1" t="s">
        <v>58</v>
      </c>
      <c r="B3" s="246" t="s">
        <v>18</v>
      </c>
      <c r="C3" s="246"/>
      <c r="D3" s="246"/>
      <c r="E3" s="246"/>
      <c r="F3" s="246"/>
      <c r="G3" s="246"/>
      <c r="H3" s="246"/>
      <c r="I3" s="246"/>
      <c r="J3" s="246"/>
      <c r="K3" s="246"/>
      <c r="L3" s="246"/>
      <c r="M3" s="246"/>
      <c r="N3" s="246"/>
      <c r="O3" s="246"/>
      <c r="P3" s="246"/>
      <c r="Q3" s="246"/>
      <c r="R3" s="246"/>
      <c r="S3" s="246"/>
      <c r="T3" s="246"/>
      <c r="U3" s="247"/>
    </row>
    <row r="4" spans="1:21">
      <c r="A4" s="19" t="s">
        <v>19</v>
      </c>
      <c r="B4" s="11" t="s">
        <v>487</v>
      </c>
      <c r="C4" s="11" t="s">
        <v>488</v>
      </c>
      <c r="D4" s="11" t="s">
        <v>489</v>
      </c>
      <c r="E4" s="11" t="s">
        <v>490</v>
      </c>
      <c r="F4" s="11" t="s">
        <v>491</v>
      </c>
      <c r="G4" s="11" t="s">
        <v>492</v>
      </c>
      <c r="H4" s="11" t="s">
        <v>493</v>
      </c>
      <c r="I4" s="11" t="s">
        <v>494</v>
      </c>
      <c r="J4" s="11" t="s">
        <v>495</v>
      </c>
      <c r="K4" s="11" t="s">
        <v>496</v>
      </c>
      <c r="L4" s="11" t="s">
        <v>497</v>
      </c>
      <c r="M4" s="11" t="s">
        <v>498</v>
      </c>
      <c r="N4" s="11" t="s">
        <v>499</v>
      </c>
      <c r="O4" s="11" t="s">
        <v>500</v>
      </c>
      <c r="P4" s="11" t="s">
        <v>501</v>
      </c>
      <c r="Q4" s="11" t="s">
        <v>502</v>
      </c>
      <c r="R4" s="11" t="s">
        <v>503</v>
      </c>
      <c r="S4" s="11" t="s">
        <v>504</v>
      </c>
      <c r="T4" s="11" t="s">
        <v>505</v>
      </c>
      <c r="U4" s="11" t="s">
        <v>512</v>
      </c>
    </row>
    <row r="5" spans="1:21">
      <c r="A5" s="1">
        <f t="shared" ref="A5:A22" si="0">+A6-1</f>
        <v>1983</v>
      </c>
      <c r="B5" s="364" t="s">
        <v>34</v>
      </c>
      <c r="C5" s="364" t="s">
        <v>34</v>
      </c>
      <c r="D5" s="364" t="s">
        <v>34</v>
      </c>
      <c r="E5" s="364" t="s">
        <v>34</v>
      </c>
      <c r="F5" s="364" t="s">
        <v>34</v>
      </c>
      <c r="G5" s="364" t="s">
        <v>34</v>
      </c>
      <c r="H5" s="364" t="s">
        <v>34</v>
      </c>
      <c r="I5" s="364">
        <v>1.0049999999999999</v>
      </c>
      <c r="J5" s="364">
        <v>1.0029999999999999</v>
      </c>
      <c r="K5" s="364">
        <v>1.0049999999999999</v>
      </c>
      <c r="L5" s="364">
        <v>1.004</v>
      </c>
      <c r="M5" s="364">
        <v>1.004</v>
      </c>
      <c r="N5" s="364">
        <v>1.0029999999999999</v>
      </c>
      <c r="O5" s="364">
        <v>1.004</v>
      </c>
      <c r="P5" s="364">
        <v>1.0029999999999999</v>
      </c>
      <c r="Q5" s="364">
        <v>1.002</v>
      </c>
      <c r="R5" s="364">
        <v>1.004</v>
      </c>
      <c r="S5" s="364">
        <v>1.0029999999999999</v>
      </c>
      <c r="T5" s="364">
        <v>1.0029999999999999</v>
      </c>
      <c r="U5" s="16"/>
    </row>
    <row r="6" spans="1:21" s="469" customFormat="1">
      <c r="A6" s="1">
        <f t="shared" si="0"/>
        <v>1984</v>
      </c>
      <c r="B6" s="364" t="s">
        <v>34</v>
      </c>
      <c r="C6" s="364" t="s">
        <v>34</v>
      </c>
      <c r="D6" s="364" t="s">
        <v>34</v>
      </c>
      <c r="E6" s="364" t="s">
        <v>34</v>
      </c>
      <c r="F6" s="364" t="s">
        <v>34</v>
      </c>
      <c r="G6" s="364" t="s">
        <v>34</v>
      </c>
      <c r="H6" s="364">
        <v>1.004</v>
      </c>
      <c r="I6" s="364">
        <v>1.0029999999999999</v>
      </c>
      <c r="J6" s="364">
        <v>1.004</v>
      </c>
      <c r="K6" s="364">
        <v>1.0029999999999999</v>
      </c>
      <c r="L6" s="364">
        <v>1.004</v>
      </c>
      <c r="M6" s="364">
        <v>1.004</v>
      </c>
      <c r="N6" s="364">
        <v>1.0029999999999999</v>
      </c>
      <c r="O6" s="364">
        <v>1.0029999999999999</v>
      </c>
      <c r="P6" s="364">
        <v>1.002</v>
      </c>
      <c r="Q6" s="364">
        <v>1.002</v>
      </c>
      <c r="R6" s="364">
        <v>1.002</v>
      </c>
      <c r="S6" s="364">
        <v>1.002</v>
      </c>
      <c r="T6" s="364">
        <v>1.002</v>
      </c>
      <c r="U6" s="16"/>
    </row>
    <row r="7" spans="1:21" s="290" customFormat="1">
      <c r="A7" s="1">
        <f t="shared" si="0"/>
        <v>1985</v>
      </c>
      <c r="B7" s="364" t="s">
        <v>34</v>
      </c>
      <c r="C7" s="364" t="s">
        <v>34</v>
      </c>
      <c r="D7" s="364" t="s">
        <v>34</v>
      </c>
      <c r="E7" s="364" t="s">
        <v>34</v>
      </c>
      <c r="F7" s="364" t="s">
        <v>34</v>
      </c>
      <c r="G7" s="364">
        <v>1.006</v>
      </c>
      <c r="H7" s="364">
        <v>1.004</v>
      </c>
      <c r="I7" s="364">
        <v>1.004</v>
      </c>
      <c r="J7" s="364">
        <v>1.0029999999999999</v>
      </c>
      <c r="K7" s="364">
        <v>1.004</v>
      </c>
      <c r="L7" s="364">
        <v>1.004</v>
      </c>
      <c r="M7" s="364">
        <v>1.004</v>
      </c>
      <c r="N7" s="364">
        <v>1.0029999999999999</v>
      </c>
      <c r="O7" s="364">
        <v>1.002</v>
      </c>
      <c r="P7" s="364">
        <v>1.0029999999999999</v>
      </c>
      <c r="Q7" s="364">
        <v>1.002</v>
      </c>
      <c r="R7" s="364">
        <v>1.002</v>
      </c>
      <c r="S7" s="364">
        <v>1.002</v>
      </c>
      <c r="T7" s="364">
        <v>1.002</v>
      </c>
      <c r="U7" s="16"/>
    </row>
    <row r="8" spans="1:21">
      <c r="A8" s="1">
        <f t="shared" si="0"/>
        <v>1986</v>
      </c>
      <c r="B8" s="364" t="s">
        <v>34</v>
      </c>
      <c r="C8" s="364" t="s">
        <v>34</v>
      </c>
      <c r="D8" s="364" t="s">
        <v>34</v>
      </c>
      <c r="E8" s="364" t="s">
        <v>34</v>
      </c>
      <c r="F8" s="364">
        <v>1.0049999999999999</v>
      </c>
      <c r="G8" s="364">
        <v>1.004</v>
      </c>
      <c r="H8" s="364">
        <v>1.0049999999999999</v>
      </c>
      <c r="I8" s="364">
        <v>1.0049999999999999</v>
      </c>
      <c r="J8" s="364">
        <v>1.0049999999999999</v>
      </c>
      <c r="K8" s="364">
        <v>1.0049999999999999</v>
      </c>
      <c r="L8" s="364">
        <v>1.0049999999999999</v>
      </c>
      <c r="M8" s="364">
        <v>1.0049999999999999</v>
      </c>
      <c r="N8" s="364">
        <v>1.004</v>
      </c>
      <c r="O8" s="364">
        <v>1.006</v>
      </c>
      <c r="P8" s="364">
        <v>1.004</v>
      </c>
      <c r="Q8" s="364">
        <v>1.004</v>
      </c>
      <c r="R8" s="364">
        <v>1.0029999999999999</v>
      </c>
      <c r="S8" s="364">
        <v>1.0029999999999999</v>
      </c>
      <c r="T8" s="364" t="s">
        <v>34</v>
      </c>
      <c r="U8" s="16"/>
    </row>
    <row r="9" spans="1:21">
      <c r="A9" s="1">
        <f t="shared" si="0"/>
        <v>1987</v>
      </c>
      <c r="B9" s="364" t="s">
        <v>34</v>
      </c>
      <c r="C9" s="364" t="s">
        <v>34</v>
      </c>
      <c r="D9" s="364" t="s">
        <v>34</v>
      </c>
      <c r="E9" s="364">
        <v>1.0069999999999999</v>
      </c>
      <c r="F9" s="364">
        <v>1.006</v>
      </c>
      <c r="G9" s="364">
        <v>1.0049999999999999</v>
      </c>
      <c r="H9" s="364">
        <v>1.0049999999999999</v>
      </c>
      <c r="I9" s="364">
        <v>1.0049999999999999</v>
      </c>
      <c r="J9" s="364">
        <v>1.0049999999999999</v>
      </c>
      <c r="K9" s="364">
        <v>1.0049999999999999</v>
      </c>
      <c r="L9" s="364">
        <v>1.0049999999999999</v>
      </c>
      <c r="M9" s="364">
        <v>1.0029999999999999</v>
      </c>
      <c r="N9" s="364">
        <v>1.0029999999999999</v>
      </c>
      <c r="O9" s="364">
        <v>1.0029999999999999</v>
      </c>
      <c r="P9" s="364">
        <v>1.0029999999999999</v>
      </c>
      <c r="Q9" s="364">
        <v>1.002</v>
      </c>
      <c r="R9" s="364">
        <v>1.002</v>
      </c>
      <c r="S9" s="364" t="s">
        <v>34</v>
      </c>
      <c r="T9" s="364" t="s">
        <v>34</v>
      </c>
      <c r="U9" s="16"/>
    </row>
    <row r="10" spans="1:21">
      <c r="A10" s="1">
        <f t="shared" si="0"/>
        <v>1988</v>
      </c>
      <c r="B10" s="364" t="s">
        <v>34</v>
      </c>
      <c r="C10" s="364" t="s">
        <v>34</v>
      </c>
      <c r="D10" s="364">
        <v>1.0069999999999999</v>
      </c>
      <c r="E10" s="364">
        <v>1.006</v>
      </c>
      <c r="F10" s="364">
        <v>1.0049999999999999</v>
      </c>
      <c r="G10" s="364">
        <v>1.0049999999999999</v>
      </c>
      <c r="H10" s="364">
        <v>1.006</v>
      </c>
      <c r="I10" s="364">
        <v>1.0049999999999999</v>
      </c>
      <c r="J10" s="364">
        <v>1.0049999999999999</v>
      </c>
      <c r="K10" s="364">
        <v>1.004</v>
      </c>
      <c r="L10" s="364">
        <v>1.0029999999999999</v>
      </c>
      <c r="M10" s="364">
        <v>1.0029999999999999</v>
      </c>
      <c r="N10" s="364">
        <v>1.0029999999999999</v>
      </c>
      <c r="O10" s="364">
        <v>1.004</v>
      </c>
      <c r="P10" s="364">
        <v>1.0029999999999999</v>
      </c>
      <c r="Q10" s="364">
        <v>1.002</v>
      </c>
      <c r="R10" s="364" t="s">
        <v>34</v>
      </c>
      <c r="S10" s="364" t="s">
        <v>34</v>
      </c>
      <c r="T10" s="364" t="s">
        <v>34</v>
      </c>
      <c r="U10" s="16"/>
    </row>
    <row r="11" spans="1:21">
      <c r="A11" s="1">
        <f t="shared" si="0"/>
        <v>1989</v>
      </c>
      <c r="B11" s="364" t="s">
        <v>34</v>
      </c>
      <c r="C11" s="364">
        <v>1.006</v>
      </c>
      <c r="D11" s="364">
        <v>1.0069999999999999</v>
      </c>
      <c r="E11" s="364">
        <v>1.0049999999999999</v>
      </c>
      <c r="F11" s="364">
        <v>1.006</v>
      </c>
      <c r="G11" s="364">
        <v>1.008</v>
      </c>
      <c r="H11" s="364">
        <v>1.006</v>
      </c>
      <c r="I11" s="364">
        <v>1.0069999999999999</v>
      </c>
      <c r="J11" s="364">
        <v>1.006</v>
      </c>
      <c r="K11" s="364">
        <v>1.0029999999999999</v>
      </c>
      <c r="L11" s="364">
        <v>1.0029999999999999</v>
      </c>
      <c r="M11" s="364">
        <v>1.0029999999999999</v>
      </c>
      <c r="N11" s="364">
        <v>1.0029999999999999</v>
      </c>
      <c r="O11" s="364">
        <v>1.0029999999999999</v>
      </c>
      <c r="P11" s="364">
        <v>1.004</v>
      </c>
      <c r="Q11" s="364" t="s">
        <v>34</v>
      </c>
      <c r="R11" s="364" t="s">
        <v>34</v>
      </c>
      <c r="S11" s="364" t="s">
        <v>34</v>
      </c>
      <c r="T11" s="364" t="s">
        <v>34</v>
      </c>
      <c r="U11" s="16"/>
    </row>
    <row r="12" spans="1:21">
      <c r="A12" s="1">
        <f t="shared" si="0"/>
        <v>1990</v>
      </c>
      <c r="B12" s="364">
        <v>1.006</v>
      </c>
      <c r="C12" s="364">
        <v>1.0049999999999999</v>
      </c>
      <c r="D12" s="364">
        <v>1.0049999999999999</v>
      </c>
      <c r="E12" s="364">
        <v>1.0049999999999999</v>
      </c>
      <c r="F12" s="364">
        <v>1.0049999999999999</v>
      </c>
      <c r="G12" s="364">
        <v>1.006</v>
      </c>
      <c r="H12" s="364">
        <v>1.004</v>
      </c>
      <c r="I12" s="364">
        <v>1.004</v>
      </c>
      <c r="J12" s="364">
        <v>1.0029999999999999</v>
      </c>
      <c r="K12" s="364">
        <v>1.002</v>
      </c>
      <c r="L12" s="364">
        <v>1.0029999999999999</v>
      </c>
      <c r="M12" s="364">
        <v>1.002</v>
      </c>
      <c r="N12" s="364">
        <v>1.0029999999999999</v>
      </c>
      <c r="O12" s="364">
        <v>1.002</v>
      </c>
      <c r="P12" s="364" t="s">
        <v>34</v>
      </c>
      <c r="Q12" s="364" t="s">
        <v>34</v>
      </c>
      <c r="R12" s="364" t="s">
        <v>34</v>
      </c>
      <c r="S12" s="364" t="s">
        <v>34</v>
      </c>
      <c r="T12" s="364" t="s">
        <v>34</v>
      </c>
      <c r="U12" s="16"/>
    </row>
    <row r="13" spans="1:21">
      <c r="A13" s="1">
        <f t="shared" si="0"/>
        <v>1991</v>
      </c>
      <c r="B13" s="364">
        <v>1.0069999999999999</v>
      </c>
      <c r="C13" s="364">
        <v>1.006</v>
      </c>
      <c r="D13" s="364">
        <v>1.006</v>
      </c>
      <c r="E13" s="364">
        <v>1.0049999999999999</v>
      </c>
      <c r="F13" s="364">
        <v>1.006</v>
      </c>
      <c r="G13" s="364">
        <v>1.0049999999999999</v>
      </c>
      <c r="H13" s="364">
        <v>1.006</v>
      </c>
      <c r="I13" s="364">
        <v>1.0029999999999999</v>
      </c>
      <c r="J13" s="364">
        <v>1.0029999999999999</v>
      </c>
      <c r="K13" s="364">
        <v>1.0029999999999999</v>
      </c>
      <c r="L13" s="364">
        <v>1.0029999999999999</v>
      </c>
      <c r="M13" s="364">
        <v>1.004</v>
      </c>
      <c r="N13" s="364">
        <v>1.0029999999999999</v>
      </c>
      <c r="O13" s="364" t="s">
        <v>34</v>
      </c>
      <c r="P13" s="364" t="s">
        <v>34</v>
      </c>
      <c r="Q13" s="364" t="s">
        <v>34</v>
      </c>
      <c r="R13" s="364" t="s">
        <v>34</v>
      </c>
      <c r="S13" s="364" t="s">
        <v>34</v>
      </c>
      <c r="T13" s="364" t="s">
        <v>34</v>
      </c>
      <c r="U13" s="17"/>
    </row>
    <row r="14" spans="1:21">
      <c r="A14" s="1">
        <f t="shared" si="0"/>
        <v>1992</v>
      </c>
      <c r="B14" s="364">
        <v>1.008</v>
      </c>
      <c r="C14" s="364">
        <v>1.0069999999999999</v>
      </c>
      <c r="D14" s="364">
        <v>1.002</v>
      </c>
      <c r="E14" s="364">
        <v>1.006</v>
      </c>
      <c r="F14" s="364">
        <v>1.008</v>
      </c>
      <c r="G14" s="364">
        <v>1.006</v>
      </c>
      <c r="H14" s="364">
        <v>1.0049999999999999</v>
      </c>
      <c r="I14" s="364">
        <v>1.0049999999999999</v>
      </c>
      <c r="J14" s="364">
        <v>1.0049999999999999</v>
      </c>
      <c r="K14" s="364">
        <v>1.004</v>
      </c>
      <c r="L14" s="364">
        <v>1.006</v>
      </c>
      <c r="M14" s="364">
        <v>1.0029999999999999</v>
      </c>
      <c r="N14" s="364" t="s">
        <v>34</v>
      </c>
      <c r="O14" s="364" t="s">
        <v>34</v>
      </c>
      <c r="P14" s="364" t="s">
        <v>34</v>
      </c>
      <c r="Q14" s="364" t="s">
        <v>34</v>
      </c>
      <c r="R14" s="364" t="s">
        <v>34</v>
      </c>
      <c r="S14" s="364" t="s">
        <v>34</v>
      </c>
      <c r="T14" s="364" t="s">
        <v>34</v>
      </c>
      <c r="U14" s="17"/>
    </row>
    <row r="15" spans="1:21">
      <c r="A15" s="1">
        <f t="shared" si="0"/>
        <v>1993</v>
      </c>
      <c r="B15" s="364">
        <v>1.0109999999999999</v>
      </c>
      <c r="C15" s="364">
        <v>1.0109999999999999</v>
      </c>
      <c r="D15" s="364">
        <v>1.01</v>
      </c>
      <c r="E15" s="364">
        <v>1.0129999999999999</v>
      </c>
      <c r="F15" s="364">
        <v>1.0109999999999999</v>
      </c>
      <c r="G15" s="364">
        <v>1.0069999999999999</v>
      </c>
      <c r="H15" s="364">
        <v>1.006</v>
      </c>
      <c r="I15" s="364">
        <v>1.006</v>
      </c>
      <c r="J15" s="364">
        <v>1.0049999999999999</v>
      </c>
      <c r="K15" s="364">
        <v>1.008</v>
      </c>
      <c r="L15" s="364">
        <v>1.0029999999999999</v>
      </c>
      <c r="M15" s="364" t="s">
        <v>34</v>
      </c>
      <c r="N15" s="364" t="s">
        <v>34</v>
      </c>
      <c r="O15" s="364" t="s">
        <v>34</v>
      </c>
      <c r="P15" s="364" t="s">
        <v>34</v>
      </c>
      <c r="Q15" s="364" t="s">
        <v>34</v>
      </c>
      <c r="R15" s="364" t="s">
        <v>34</v>
      </c>
      <c r="S15" s="364" t="s">
        <v>34</v>
      </c>
      <c r="T15" s="364" t="s">
        <v>34</v>
      </c>
      <c r="U15" s="17"/>
    </row>
    <row r="16" spans="1:21">
      <c r="A16" s="1">
        <f t="shared" si="0"/>
        <v>1994</v>
      </c>
      <c r="B16" s="364">
        <v>1.0129999999999999</v>
      </c>
      <c r="C16" s="364">
        <v>1.0089999999999999</v>
      </c>
      <c r="D16" s="364">
        <v>1.01</v>
      </c>
      <c r="E16" s="364">
        <v>1.01</v>
      </c>
      <c r="F16" s="364">
        <v>1.0089999999999999</v>
      </c>
      <c r="G16" s="364">
        <v>1.008</v>
      </c>
      <c r="H16" s="364">
        <v>1.0069999999999999</v>
      </c>
      <c r="I16" s="364">
        <v>1.004</v>
      </c>
      <c r="J16" s="364">
        <v>1.004</v>
      </c>
      <c r="K16" s="364">
        <v>1.0049999999999999</v>
      </c>
      <c r="L16" s="364" t="s">
        <v>34</v>
      </c>
      <c r="M16" s="364" t="s">
        <v>34</v>
      </c>
      <c r="N16" s="364" t="s">
        <v>34</v>
      </c>
      <c r="O16" s="364" t="s">
        <v>34</v>
      </c>
      <c r="P16" s="364" t="s">
        <v>34</v>
      </c>
      <c r="Q16" s="364" t="s">
        <v>34</v>
      </c>
      <c r="R16" s="364" t="s">
        <v>34</v>
      </c>
      <c r="S16" s="364" t="s">
        <v>34</v>
      </c>
      <c r="T16" s="364" t="s">
        <v>34</v>
      </c>
      <c r="U16" s="17"/>
    </row>
    <row r="17" spans="1:21">
      <c r="A17" s="1">
        <f t="shared" si="0"/>
        <v>1995</v>
      </c>
      <c r="B17" s="364">
        <v>1.0109999999999999</v>
      </c>
      <c r="C17" s="364">
        <v>1.016</v>
      </c>
      <c r="D17" s="364">
        <v>1.0129999999999999</v>
      </c>
      <c r="E17" s="364">
        <v>1.012</v>
      </c>
      <c r="F17" s="364">
        <v>1.0089999999999999</v>
      </c>
      <c r="G17" s="364">
        <v>1.012</v>
      </c>
      <c r="H17" s="364">
        <v>1.0069999999999999</v>
      </c>
      <c r="I17" s="364">
        <v>1.008</v>
      </c>
      <c r="J17" s="364">
        <v>1.0069999999999999</v>
      </c>
      <c r="K17" s="364" t="s">
        <v>34</v>
      </c>
      <c r="L17" s="364" t="s">
        <v>34</v>
      </c>
      <c r="M17" s="364" t="s">
        <v>34</v>
      </c>
      <c r="N17" s="364" t="s">
        <v>34</v>
      </c>
      <c r="O17" s="364" t="s">
        <v>34</v>
      </c>
      <c r="P17" s="364" t="s">
        <v>34</v>
      </c>
      <c r="Q17" s="364" t="s">
        <v>34</v>
      </c>
      <c r="R17" s="364" t="s">
        <v>34</v>
      </c>
      <c r="S17" s="364" t="s">
        <v>34</v>
      </c>
      <c r="T17" s="364" t="s">
        <v>34</v>
      </c>
      <c r="U17" s="17"/>
    </row>
    <row r="18" spans="1:21">
      <c r="A18" s="1">
        <f t="shared" si="0"/>
        <v>1996</v>
      </c>
      <c r="B18" s="364">
        <v>1.014</v>
      </c>
      <c r="C18" s="364">
        <v>1.0129999999999999</v>
      </c>
      <c r="D18" s="364">
        <v>1.0109999999999999</v>
      </c>
      <c r="E18" s="364">
        <v>1.0089999999999999</v>
      </c>
      <c r="F18" s="364">
        <v>1.0069999999999999</v>
      </c>
      <c r="G18" s="364">
        <v>1.0089999999999999</v>
      </c>
      <c r="H18" s="364">
        <v>1.008</v>
      </c>
      <c r="I18" s="364">
        <v>1.006</v>
      </c>
      <c r="J18" s="364" t="s">
        <v>34</v>
      </c>
      <c r="K18" s="364" t="s">
        <v>34</v>
      </c>
      <c r="L18" s="364" t="s">
        <v>34</v>
      </c>
      <c r="M18" s="364" t="s">
        <v>34</v>
      </c>
      <c r="N18" s="364" t="s">
        <v>34</v>
      </c>
      <c r="O18" s="364" t="s">
        <v>34</v>
      </c>
      <c r="P18" s="364" t="s">
        <v>34</v>
      </c>
      <c r="Q18" s="364" t="s">
        <v>34</v>
      </c>
      <c r="R18" s="364" t="s">
        <v>34</v>
      </c>
      <c r="S18" s="364" t="s">
        <v>34</v>
      </c>
      <c r="T18" s="364" t="s">
        <v>34</v>
      </c>
      <c r="U18" s="17"/>
    </row>
    <row r="19" spans="1:21">
      <c r="A19" s="1">
        <f t="shared" si="0"/>
        <v>1997</v>
      </c>
      <c r="B19" s="364">
        <v>1.014</v>
      </c>
      <c r="C19" s="364">
        <v>1.0109999999999999</v>
      </c>
      <c r="D19" s="364">
        <v>1.006</v>
      </c>
      <c r="E19" s="364">
        <v>1.006</v>
      </c>
      <c r="F19" s="364">
        <v>1.0069999999999999</v>
      </c>
      <c r="G19" s="364">
        <v>1.0069999999999999</v>
      </c>
      <c r="H19" s="364">
        <v>1.006</v>
      </c>
      <c r="I19" s="364" t="s">
        <v>34</v>
      </c>
      <c r="J19" s="364" t="s">
        <v>34</v>
      </c>
      <c r="K19" s="364" t="s">
        <v>34</v>
      </c>
      <c r="L19" s="364" t="s">
        <v>34</v>
      </c>
      <c r="M19" s="364" t="s">
        <v>34</v>
      </c>
      <c r="N19" s="364" t="s">
        <v>34</v>
      </c>
      <c r="O19" s="364" t="s">
        <v>34</v>
      </c>
      <c r="P19" s="364" t="s">
        <v>34</v>
      </c>
      <c r="Q19" s="364" t="s">
        <v>34</v>
      </c>
      <c r="R19" s="364" t="s">
        <v>34</v>
      </c>
      <c r="S19" s="364" t="s">
        <v>34</v>
      </c>
      <c r="T19" s="364" t="s">
        <v>34</v>
      </c>
      <c r="U19" s="17"/>
    </row>
    <row r="20" spans="1:21">
      <c r="A20" s="1">
        <f t="shared" si="0"/>
        <v>1998</v>
      </c>
      <c r="B20" s="364">
        <v>1.0129999999999999</v>
      </c>
      <c r="C20" s="364">
        <v>1.01</v>
      </c>
      <c r="D20" s="364">
        <v>1.0089999999999999</v>
      </c>
      <c r="E20" s="364">
        <v>1.008</v>
      </c>
      <c r="F20" s="364">
        <v>1.0089999999999999</v>
      </c>
      <c r="G20" s="364">
        <v>1.0069999999999999</v>
      </c>
      <c r="H20" s="364" t="s">
        <v>34</v>
      </c>
      <c r="I20" s="364" t="s">
        <v>34</v>
      </c>
      <c r="J20" s="364" t="s">
        <v>34</v>
      </c>
      <c r="K20" s="364" t="s">
        <v>34</v>
      </c>
      <c r="L20" s="364" t="s">
        <v>34</v>
      </c>
      <c r="M20" s="364" t="s">
        <v>34</v>
      </c>
      <c r="N20" s="364" t="s">
        <v>34</v>
      </c>
      <c r="O20" s="364" t="s">
        <v>34</v>
      </c>
      <c r="P20" s="364" t="s">
        <v>34</v>
      </c>
      <c r="Q20" s="364" t="s">
        <v>34</v>
      </c>
      <c r="R20" s="364" t="s">
        <v>34</v>
      </c>
      <c r="S20" s="364" t="s">
        <v>34</v>
      </c>
      <c r="T20" s="364" t="s">
        <v>34</v>
      </c>
      <c r="U20" s="17"/>
    </row>
    <row r="21" spans="1:21">
      <c r="A21" s="1">
        <f t="shared" si="0"/>
        <v>1999</v>
      </c>
      <c r="B21" s="364">
        <v>1.012</v>
      </c>
      <c r="C21" s="364">
        <v>1.0089999999999999</v>
      </c>
      <c r="D21" s="364">
        <v>1.0089999999999999</v>
      </c>
      <c r="E21" s="364">
        <v>1.008</v>
      </c>
      <c r="F21" s="364">
        <v>1.006</v>
      </c>
      <c r="G21" s="364" t="s">
        <v>34</v>
      </c>
      <c r="H21" s="364" t="s">
        <v>34</v>
      </c>
      <c r="I21" s="364" t="s">
        <v>34</v>
      </c>
      <c r="J21" s="364" t="s">
        <v>34</v>
      </c>
      <c r="K21" s="364" t="s">
        <v>34</v>
      </c>
      <c r="L21" s="364" t="s">
        <v>34</v>
      </c>
      <c r="M21" s="364" t="s">
        <v>34</v>
      </c>
      <c r="N21" s="364" t="s">
        <v>34</v>
      </c>
      <c r="O21" s="364" t="s">
        <v>34</v>
      </c>
      <c r="P21" s="364" t="s">
        <v>34</v>
      </c>
      <c r="Q21" s="364" t="s">
        <v>34</v>
      </c>
      <c r="R21" s="364" t="s">
        <v>34</v>
      </c>
      <c r="S21" s="364" t="s">
        <v>34</v>
      </c>
      <c r="T21" s="364" t="s">
        <v>34</v>
      </c>
      <c r="U21" s="17"/>
    </row>
    <row r="22" spans="1:21">
      <c r="A22" s="1">
        <f t="shared" si="0"/>
        <v>2000</v>
      </c>
      <c r="B22" s="364">
        <v>1.0089999999999999</v>
      </c>
      <c r="C22" s="364">
        <v>1.008</v>
      </c>
      <c r="D22" s="364">
        <v>1.0069999999999999</v>
      </c>
      <c r="E22" s="364">
        <v>1.006</v>
      </c>
      <c r="F22" s="364" t="s">
        <v>34</v>
      </c>
      <c r="G22" s="364" t="s">
        <v>34</v>
      </c>
      <c r="H22" s="364" t="s">
        <v>34</v>
      </c>
      <c r="I22" s="364" t="s">
        <v>34</v>
      </c>
      <c r="J22" s="364" t="s">
        <v>34</v>
      </c>
      <c r="K22" s="364" t="s">
        <v>34</v>
      </c>
      <c r="L22" s="364" t="s">
        <v>34</v>
      </c>
      <c r="M22" s="364" t="s">
        <v>34</v>
      </c>
      <c r="N22" s="364" t="s">
        <v>34</v>
      </c>
      <c r="O22" s="364" t="s">
        <v>34</v>
      </c>
      <c r="P22" s="364" t="s">
        <v>34</v>
      </c>
      <c r="Q22" s="364" t="s">
        <v>34</v>
      </c>
      <c r="R22" s="364" t="s">
        <v>34</v>
      </c>
      <c r="S22" s="364" t="s">
        <v>34</v>
      </c>
      <c r="T22" s="364" t="s">
        <v>34</v>
      </c>
      <c r="U22" s="17"/>
    </row>
    <row r="23" spans="1:21">
      <c r="A23" s="1">
        <f>+A24-1</f>
        <v>2001</v>
      </c>
      <c r="B23" s="364">
        <v>1.01</v>
      </c>
      <c r="C23" s="364">
        <v>1.01</v>
      </c>
      <c r="D23" s="364">
        <v>1.0089999999999999</v>
      </c>
      <c r="E23" s="364" t="s">
        <v>34</v>
      </c>
      <c r="F23" s="364" t="s">
        <v>34</v>
      </c>
      <c r="G23" s="364" t="s">
        <v>34</v>
      </c>
      <c r="H23" s="364" t="s">
        <v>34</v>
      </c>
      <c r="I23" s="364" t="s">
        <v>34</v>
      </c>
      <c r="J23" s="364" t="s">
        <v>34</v>
      </c>
      <c r="K23" s="364" t="s">
        <v>34</v>
      </c>
      <c r="L23" s="364" t="s">
        <v>34</v>
      </c>
      <c r="M23" s="364" t="s">
        <v>34</v>
      </c>
      <c r="N23" s="364" t="s">
        <v>34</v>
      </c>
      <c r="O23" s="364" t="s">
        <v>34</v>
      </c>
      <c r="P23" s="364" t="s">
        <v>34</v>
      </c>
      <c r="Q23" s="364" t="s">
        <v>34</v>
      </c>
      <c r="R23" s="364" t="s">
        <v>34</v>
      </c>
      <c r="S23" s="364" t="s">
        <v>34</v>
      </c>
      <c r="T23" s="364" t="s">
        <v>34</v>
      </c>
      <c r="U23" s="17"/>
    </row>
    <row r="24" spans="1:21">
      <c r="A24" s="1">
        <f>+A25-1</f>
        <v>2002</v>
      </c>
      <c r="B24" s="364">
        <v>1.0089999999999999</v>
      </c>
      <c r="C24" s="364">
        <v>1.008</v>
      </c>
      <c r="D24" s="364" t="s">
        <v>34</v>
      </c>
      <c r="E24" s="364" t="s">
        <v>34</v>
      </c>
      <c r="F24" s="364" t="s">
        <v>34</v>
      </c>
      <c r="G24" s="364" t="s">
        <v>34</v>
      </c>
      <c r="H24" s="364" t="s">
        <v>34</v>
      </c>
      <c r="I24" s="364" t="s">
        <v>34</v>
      </c>
      <c r="J24" s="364" t="s">
        <v>34</v>
      </c>
      <c r="K24" s="364" t="s">
        <v>34</v>
      </c>
      <c r="L24" s="364" t="s">
        <v>34</v>
      </c>
      <c r="M24" s="364" t="s">
        <v>34</v>
      </c>
      <c r="N24" s="364" t="s">
        <v>34</v>
      </c>
      <c r="O24" s="364" t="s">
        <v>34</v>
      </c>
      <c r="P24" s="364" t="s">
        <v>34</v>
      </c>
      <c r="Q24" s="364" t="s">
        <v>34</v>
      </c>
      <c r="R24" s="364" t="s">
        <v>34</v>
      </c>
      <c r="S24" s="364" t="s">
        <v>34</v>
      </c>
      <c r="T24" s="364" t="s">
        <v>34</v>
      </c>
      <c r="U24" s="17"/>
    </row>
    <row r="25" spans="1:21">
      <c r="A25" s="1">
        <f>'Exhibit 2.3.2'!A25</f>
        <v>2003</v>
      </c>
      <c r="B25" s="364">
        <v>1.01</v>
      </c>
      <c r="C25" s="364" t="s">
        <v>34</v>
      </c>
      <c r="D25" s="364" t="s">
        <v>34</v>
      </c>
      <c r="E25" s="364" t="s">
        <v>34</v>
      </c>
      <c r="F25" s="364" t="s">
        <v>34</v>
      </c>
      <c r="G25" s="364" t="s">
        <v>34</v>
      </c>
      <c r="H25" s="364" t="s">
        <v>34</v>
      </c>
      <c r="I25" s="364" t="s">
        <v>34</v>
      </c>
      <c r="J25" s="364" t="s">
        <v>34</v>
      </c>
      <c r="K25" s="364" t="s">
        <v>34</v>
      </c>
      <c r="L25" s="364" t="s">
        <v>34</v>
      </c>
      <c r="M25" s="364" t="s">
        <v>34</v>
      </c>
      <c r="N25" s="364" t="s">
        <v>34</v>
      </c>
      <c r="O25" s="364" t="s">
        <v>34</v>
      </c>
      <c r="P25" s="364" t="s">
        <v>34</v>
      </c>
      <c r="Q25" s="364" t="s">
        <v>34</v>
      </c>
      <c r="R25" s="364" t="s">
        <v>34</v>
      </c>
      <c r="S25" s="364" t="s">
        <v>34</v>
      </c>
      <c r="T25" s="364" t="s">
        <v>34</v>
      </c>
      <c r="U25" s="17"/>
    </row>
    <row r="26" spans="1:21">
      <c r="A26" s="1"/>
      <c r="B26" s="16"/>
      <c r="C26" s="16"/>
      <c r="D26" s="16"/>
      <c r="E26" s="16"/>
      <c r="F26" s="16"/>
      <c r="G26" s="16"/>
      <c r="H26" s="16"/>
      <c r="I26" s="16"/>
      <c r="J26" s="16"/>
      <c r="K26" s="16"/>
      <c r="L26" s="16"/>
      <c r="M26" s="16"/>
      <c r="N26" s="16"/>
      <c r="O26" s="16"/>
      <c r="P26" s="16"/>
      <c r="Q26" s="17"/>
      <c r="R26" s="17"/>
      <c r="S26" s="472"/>
      <c r="T26" s="17"/>
      <c r="U26" s="17"/>
    </row>
    <row r="27" spans="1:21" ht="14.5">
      <c r="A27" s="1" t="s">
        <v>59</v>
      </c>
      <c r="B27" s="246" t="s">
        <v>18</v>
      </c>
      <c r="C27" s="246"/>
      <c r="D27" s="246"/>
      <c r="E27" s="246"/>
      <c r="F27" s="246"/>
      <c r="G27" s="246"/>
      <c r="H27" s="246"/>
      <c r="I27" s="246"/>
      <c r="J27" s="246"/>
      <c r="K27" s="246"/>
      <c r="L27" s="246"/>
      <c r="M27" s="246"/>
      <c r="N27" s="246"/>
      <c r="O27" s="246"/>
      <c r="P27" s="246"/>
      <c r="Q27" s="246"/>
      <c r="R27" s="246"/>
      <c r="S27" s="246"/>
      <c r="T27" s="246"/>
      <c r="U27" s="247"/>
    </row>
    <row r="28" spans="1:21">
      <c r="A28" s="19" t="s">
        <v>19</v>
      </c>
      <c r="B28" s="19" t="str">
        <f>+B4</f>
        <v>216/204</v>
      </c>
      <c r="C28" s="19" t="str">
        <f t="shared" ref="C28:U28" si="1">+C4</f>
        <v>228/216</v>
      </c>
      <c r="D28" s="19" t="str">
        <f t="shared" si="1"/>
        <v>240/228</v>
      </c>
      <c r="E28" s="19" t="str">
        <f t="shared" si="1"/>
        <v>252/240</v>
      </c>
      <c r="F28" s="19" t="str">
        <f t="shared" si="1"/>
        <v>264/252</v>
      </c>
      <c r="G28" s="19" t="str">
        <f t="shared" si="1"/>
        <v>276/264</v>
      </c>
      <c r="H28" s="19" t="str">
        <f t="shared" si="1"/>
        <v>288/276</v>
      </c>
      <c r="I28" s="19" t="str">
        <f t="shared" si="1"/>
        <v>300/288</v>
      </c>
      <c r="J28" s="19" t="str">
        <f t="shared" si="1"/>
        <v>312/300</v>
      </c>
      <c r="K28" s="19" t="str">
        <f t="shared" si="1"/>
        <v>324/312</v>
      </c>
      <c r="L28" s="19" t="str">
        <f t="shared" si="1"/>
        <v>336/324</v>
      </c>
      <c r="M28" s="19" t="str">
        <f t="shared" si="1"/>
        <v>348/336</v>
      </c>
      <c r="N28" s="19" t="str">
        <f t="shared" si="1"/>
        <v>360/348</v>
      </c>
      <c r="O28" s="19" t="str">
        <f t="shared" si="1"/>
        <v>372/360</v>
      </c>
      <c r="P28" s="19" t="str">
        <f t="shared" si="1"/>
        <v>384/372</v>
      </c>
      <c r="Q28" s="19" t="str">
        <f t="shared" si="1"/>
        <v>396/384</v>
      </c>
      <c r="R28" s="19" t="str">
        <f t="shared" si="1"/>
        <v>408/396</v>
      </c>
      <c r="S28" s="19" t="str">
        <f t="shared" si="1"/>
        <v>420/408</v>
      </c>
      <c r="T28" s="19" t="str">
        <f t="shared" ref="T28" si="2">+T4</f>
        <v>432/420</v>
      </c>
      <c r="U28" s="19" t="str">
        <f t="shared" si="1"/>
        <v>ULT/432Pd (e)</v>
      </c>
    </row>
    <row r="29" spans="1:21">
      <c r="A29" s="1">
        <f t="shared" ref="A29:A31" si="3">+A5</f>
        <v>1983</v>
      </c>
      <c r="B29" s="364"/>
      <c r="C29" s="364"/>
      <c r="D29" s="364"/>
      <c r="E29" s="364"/>
      <c r="F29" s="364"/>
      <c r="G29" s="364"/>
      <c r="H29" s="364"/>
      <c r="I29" s="364"/>
      <c r="J29" s="364"/>
      <c r="K29" s="364"/>
      <c r="L29" s="364"/>
      <c r="M29" s="364"/>
      <c r="N29" s="364"/>
      <c r="O29" s="364"/>
      <c r="P29" s="364"/>
      <c r="Q29" s="364"/>
      <c r="R29" s="364"/>
      <c r="S29" s="364"/>
      <c r="T29" s="364">
        <v>1.0029999999999999</v>
      </c>
      <c r="U29" s="16"/>
    </row>
    <row r="30" spans="1:21" s="469" customFormat="1">
      <c r="A30" s="1">
        <f t="shared" si="3"/>
        <v>1984</v>
      </c>
      <c r="B30" s="364"/>
      <c r="C30" s="364"/>
      <c r="D30" s="364"/>
      <c r="E30" s="364"/>
      <c r="F30" s="364"/>
      <c r="G30" s="364"/>
      <c r="H30" s="364"/>
      <c r="I30" s="364"/>
      <c r="J30" s="364"/>
      <c r="K30" s="364"/>
      <c r="L30" s="364"/>
      <c r="M30" s="364"/>
      <c r="N30" s="364"/>
      <c r="O30" s="364"/>
      <c r="P30" s="364"/>
      <c r="Q30" s="364"/>
      <c r="R30" s="364"/>
      <c r="S30" s="364">
        <v>1.002</v>
      </c>
      <c r="T30" s="364">
        <v>1.002</v>
      </c>
      <c r="U30" s="16"/>
    </row>
    <row r="31" spans="1:21" s="294" customFormat="1">
      <c r="A31" s="1">
        <f t="shared" si="3"/>
        <v>1985</v>
      </c>
      <c r="B31" s="364"/>
      <c r="C31" s="364"/>
      <c r="D31" s="364"/>
      <c r="E31" s="364"/>
      <c r="F31" s="364"/>
      <c r="G31" s="364"/>
      <c r="H31" s="364"/>
      <c r="I31" s="364"/>
      <c r="J31" s="364"/>
      <c r="K31" s="364"/>
      <c r="L31" s="364"/>
      <c r="M31" s="364"/>
      <c r="N31" s="364"/>
      <c r="O31" s="364"/>
      <c r="P31" s="364"/>
      <c r="Q31" s="364"/>
      <c r="R31" s="364">
        <v>1.002</v>
      </c>
      <c r="S31" s="364">
        <v>1.002</v>
      </c>
      <c r="T31" s="364">
        <v>1.002</v>
      </c>
      <c r="U31" s="16"/>
    </row>
    <row r="32" spans="1:21" ht="14.5">
      <c r="A32" s="1">
        <f t="shared" ref="A32:A49" si="4">+A8</f>
        <v>1986</v>
      </c>
      <c r="B32" s="364"/>
      <c r="C32" s="364"/>
      <c r="D32" s="364"/>
      <c r="E32" s="364"/>
      <c r="F32" s="364"/>
      <c r="G32" s="364"/>
      <c r="H32" s="364"/>
      <c r="I32" s="364"/>
      <c r="J32" s="364"/>
      <c r="K32" s="364"/>
      <c r="L32" s="364"/>
      <c r="M32" s="364"/>
      <c r="N32" s="364"/>
      <c r="O32" s="364"/>
      <c r="P32" s="364"/>
      <c r="Q32" s="364">
        <v>1.004</v>
      </c>
      <c r="R32" s="364">
        <v>1.0029999999999999</v>
      </c>
      <c r="S32" s="364">
        <v>1.004</v>
      </c>
      <c r="T32"/>
      <c r="U32" s="16"/>
    </row>
    <row r="33" spans="1:21" ht="14.5">
      <c r="A33" s="1">
        <f t="shared" si="4"/>
        <v>1987</v>
      </c>
      <c r="B33" s="364"/>
      <c r="C33" s="364"/>
      <c r="D33" s="364"/>
      <c r="E33" s="364"/>
      <c r="F33" s="364"/>
      <c r="G33" s="364"/>
      <c r="H33" s="364"/>
      <c r="I33" s="364"/>
      <c r="J33" s="364"/>
      <c r="K33" s="364"/>
      <c r="L33" s="364"/>
      <c r="M33" s="364"/>
      <c r="N33" s="364"/>
      <c r="O33" s="364"/>
      <c r="P33" s="364">
        <v>1.004</v>
      </c>
      <c r="Q33" s="364">
        <v>1.002</v>
      </c>
      <c r="R33" s="364">
        <v>1.0029999999999999</v>
      </c>
      <c r="S33"/>
      <c r="T33"/>
      <c r="U33" s="16"/>
    </row>
    <row r="34" spans="1:21" ht="14.5">
      <c r="A34" s="1">
        <f t="shared" si="4"/>
        <v>1988</v>
      </c>
      <c r="B34" s="364"/>
      <c r="C34" s="364"/>
      <c r="D34" s="364"/>
      <c r="E34" s="364"/>
      <c r="F34" s="364"/>
      <c r="G34" s="364"/>
      <c r="H34" s="364"/>
      <c r="I34" s="364"/>
      <c r="J34" s="364"/>
      <c r="K34" s="364"/>
      <c r="L34" s="364"/>
      <c r="M34" s="364"/>
      <c r="N34" s="364"/>
      <c r="O34" s="364">
        <v>1.004</v>
      </c>
      <c r="P34" s="364">
        <v>1.0029999999999999</v>
      </c>
      <c r="Q34" s="364">
        <v>1.002</v>
      </c>
      <c r="R34" s="364"/>
      <c r="S34" s="364"/>
      <c r="T34"/>
      <c r="U34" s="16"/>
    </row>
    <row r="35" spans="1:21">
      <c r="A35" s="1">
        <f t="shared" si="4"/>
        <v>1989</v>
      </c>
      <c r="B35" s="364"/>
      <c r="C35" s="364"/>
      <c r="D35" s="364"/>
      <c r="E35" s="364"/>
      <c r="F35" s="364"/>
      <c r="G35" s="364"/>
      <c r="H35" s="364"/>
      <c r="I35" s="364"/>
      <c r="J35" s="364"/>
      <c r="K35" s="364"/>
      <c r="L35" s="364"/>
      <c r="M35" s="364"/>
      <c r="N35" s="364">
        <v>1.004</v>
      </c>
      <c r="O35" s="364">
        <v>1.0029999999999999</v>
      </c>
      <c r="P35" s="364">
        <v>1.0049999999999999</v>
      </c>
      <c r="Q35" s="364"/>
      <c r="R35" s="364"/>
      <c r="S35" s="364"/>
      <c r="T35" s="364"/>
      <c r="U35" s="16"/>
    </row>
    <row r="36" spans="1:21">
      <c r="A36" s="1">
        <f t="shared" si="4"/>
        <v>1990</v>
      </c>
      <c r="B36" s="364"/>
      <c r="C36" s="364"/>
      <c r="D36" s="364"/>
      <c r="E36" s="364"/>
      <c r="F36" s="364"/>
      <c r="G36" s="364"/>
      <c r="H36" s="364"/>
      <c r="I36" s="364"/>
      <c r="J36" s="364"/>
      <c r="K36" s="364"/>
      <c r="L36" s="364"/>
      <c r="M36" s="364">
        <v>1.002</v>
      </c>
      <c r="N36" s="364">
        <v>1.0029999999999999</v>
      </c>
      <c r="O36" s="364">
        <v>1.002</v>
      </c>
      <c r="P36" s="364"/>
      <c r="Q36" s="364"/>
      <c r="R36" s="364"/>
      <c r="S36" s="364"/>
      <c r="T36" s="364"/>
      <c r="U36" s="16"/>
    </row>
    <row r="37" spans="1:21">
      <c r="A37" s="1">
        <f t="shared" si="4"/>
        <v>1991</v>
      </c>
      <c r="B37" s="364"/>
      <c r="C37" s="364"/>
      <c r="D37" s="364"/>
      <c r="E37" s="364"/>
      <c r="F37" s="364"/>
      <c r="G37" s="364"/>
      <c r="H37" s="364"/>
      <c r="I37" s="364"/>
      <c r="J37" s="364"/>
      <c r="K37" s="364"/>
      <c r="L37" s="364">
        <v>1.004</v>
      </c>
      <c r="M37" s="364">
        <v>1.004</v>
      </c>
      <c r="N37" s="364">
        <v>1.0029999999999999</v>
      </c>
      <c r="O37" s="364"/>
      <c r="P37" s="364"/>
      <c r="Q37" s="364"/>
      <c r="R37" s="364"/>
      <c r="S37" s="364"/>
      <c r="T37" s="364"/>
      <c r="U37" s="17"/>
    </row>
    <row r="38" spans="1:21">
      <c r="A38" s="1">
        <f t="shared" si="4"/>
        <v>1992</v>
      </c>
      <c r="B38" s="364"/>
      <c r="C38" s="364"/>
      <c r="D38" s="364"/>
      <c r="E38" s="364"/>
      <c r="F38" s="364"/>
      <c r="G38" s="364"/>
      <c r="H38" s="364"/>
      <c r="I38" s="364"/>
      <c r="J38" s="364"/>
      <c r="K38" s="364">
        <v>1.004</v>
      </c>
      <c r="L38" s="364">
        <v>1.006</v>
      </c>
      <c r="M38" s="364">
        <v>1.0029999999999999</v>
      </c>
      <c r="N38" s="364"/>
      <c r="O38" s="364"/>
      <c r="P38" s="364"/>
      <c r="Q38" s="364"/>
      <c r="R38" s="364"/>
      <c r="S38" s="364"/>
      <c r="T38" s="364"/>
      <c r="U38" s="17"/>
    </row>
    <row r="39" spans="1:21">
      <c r="A39" s="1">
        <f t="shared" si="4"/>
        <v>1993</v>
      </c>
      <c r="B39" s="364"/>
      <c r="C39" s="364"/>
      <c r="D39" s="364"/>
      <c r="E39" s="364"/>
      <c r="F39" s="364"/>
      <c r="G39" s="364"/>
      <c r="H39" s="364"/>
      <c r="I39" s="364"/>
      <c r="J39" s="364">
        <v>1.0049999999999999</v>
      </c>
      <c r="K39" s="364">
        <v>1.0089999999999999</v>
      </c>
      <c r="L39" s="364">
        <v>1.004</v>
      </c>
      <c r="M39" s="364"/>
      <c r="N39" s="364"/>
      <c r="O39" s="364"/>
      <c r="P39" s="364"/>
      <c r="Q39" s="364"/>
      <c r="R39" s="364"/>
      <c r="S39" s="364"/>
      <c r="T39" s="364"/>
      <c r="U39" s="23"/>
    </row>
    <row r="40" spans="1:21">
      <c r="A40" s="1">
        <f t="shared" si="4"/>
        <v>1994</v>
      </c>
      <c r="B40" s="364"/>
      <c r="C40" s="364"/>
      <c r="D40" s="364"/>
      <c r="E40" s="364"/>
      <c r="F40" s="364"/>
      <c r="G40" s="364"/>
      <c r="H40" s="364"/>
      <c r="I40" s="364">
        <v>1.0049999999999999</v>
      </c>
      <c r="J40" s="364">
        <v>1.0049999999999999</v>
      </c>
      <c r="K40" s="364">
        <v>1.0049999999999999</v>
      </c>
      <c r="L40" s="364"/>
      <c r="M40" s="364"/>
      <c r="N40" s="364"/>
      <c r="O40" s="364"/>
      <c r="P40" s="364"/>
      <c r="Q40" s="364"/>
      <c r="R40" s="364"/>
      <c r="S40" s="364"/>
      <c r="T40" s="364"/>
      <c r="U40" s="17"/>
    </row>
    <row r="41" spans="1:21">
      <c r="A41" s="1">
        <f t="shared" si="4"/>
        <v>1995</v>
      </c>
      <c r="B41" s="364"/>
      <c r="C41" s="364"/>
      <c r="D41" s="364"/>
      <c r="E41" s="364"/>
      <c r="F41" s="364"/>
      <c r="G41" s="364"/>
      <c r="H41" s="364">
        <v>1.008</v>
      </c>
      <c r="I41" s="364">
        <v>1.01</v>
      </c>
      <c r="J41" s="364">
        <v>1.0069999999999999</v>
      </c>
      <c r="K41" s="364"/>
      <c r="L41" s="364"/>
      <c r="M41" s="364"/>
      <c r="N41" s="364"/>
      <c r="O41" s="364"/>
      <c r="P41" s="364"/>
      <c r="Q41" s="364"/>
      <c r="R41" s="364"/>
      <c r="S41" s="364"/>
      <c r="T41" s="364"/>
      <c r="U41" s="17"/>
    </row>
    <row r="42" spans="1:21">
      <c r="A42" s="1">
        <f t="shared" si="4"/>
        <v>1996</v>
      </c>
      <c r="B42" s="364"/>
      <c r="C42" s="364"/>
      <c r="D42" s="364"/>
      <c r="E42" s="364"/>
      <c r="F42" s="364"/>
      <c r="G42" s="364">
        <v>1.01</v>
      </c>
      <c r="H42" s="364">
        <v>1.0089999999999999</v>
      </c>
      <c r="I42" s="364">
        <v>1.0069999999999999</v>
      </c>
      <c r="J42" s="364"/>
      <c r="K42" s="364"/>
      <c r="L42" s="364"/>
      <c r="M42" s="364"/>
      <c r="N42" s="364"/>
      <c r="O42" s="364"/>
      <c r="P42" s="364"/>
      <c r="Q42" s="364"/>
      <c r="R42" s="364"/>
      <c r="S42" s="364"/>
      <c r="T42" s="364"/>
      <c r="U42" s="17"/>
    </row>
    <row r="43" spans="1:21">
      <c r="A43" s="1">
        <f t="shared" si="4"/>
        <v>1997</v>
      </c>
      <c r="B43" s="364"/>
      <c r="C43" s="364"/>
      <c r="D43" s="364"/>
      <c r="E43" s="364"/>
      <c r="F43" s="364">
        <v>1.008</v>
      </c>
      <c r="G43" s="364">
        <v>1.008</v>
      </c>
      <c r="H43" s="364">
        <v>1.006</v>
      </c>
      <c r="I43" s="364"/>
      <c r="J43" s="364"/>
      <c r="K43" s="364"/>
      <c r="L43" s="364"/>
      <c r="M43" s="364"/>
      <c r="N43" s="364"/>
      <c r="O43" s="364"/>
      <c r="P43" s="364"/>
      <c r="Q43" s="364"/>
      <c r="R43" s="364"/>
      <c r="S43" s="364"/>
      <c r="T43" s="364"/>
      <c r="U43" s="17"/>
    </row>
    <row r="44" spans="1:21">
      <c r="A44" s="1">
        <f t="shared" si="4"/>
        <v>1998</v>
      </c>
      <c r="B44" s="364"/>
      <c r="C44" s="364"/>
      <c r="D44" s="364"/>
      <c r="E44" s="364">
        <v>1.0089999999999999</v>
      </c>
      <c r="F44" s="364">
        <v>1.01</v>
      </c>
      <c r="G44" s="364">
        <v>1.008</v>
      </c>
      <c r="H44" s="364"/>
      <c r="I44" s="364"/>
      <c r="J44" s="364"/>
      <c r="K44" s="364"/>
      <c r="L44" s="364"/>
      <c r="M44" s="364"/>
      <c r="N44" s="364"/>
      <c r="O44" s="364"/>
      <c r="P44" s="364"/>
      <c r="Q44" s="364"/>
      <c r="R44" s="364"/>
      <c r="S44" s="364"/>
      <c r="T44" s="364"/>
      <c r="U44" s="17"/>
    </row>
    <row r="45" spans="1:21">
      <c r="A45" s="1">
        <f t="shared" si="4"/>
        <v>1999</v>
      </c>
      <c r="B45" s="364"/>
      <c r="C45" s="364"/>
      <c r="D45" s="364">
        <v>1.01</v>
      </c>
      <c r="E45" s="364">
        <v>1.0089999999999999</v>
      </c>
      <c r="F45" s="364">
        <v>1.006</v>
      </c>
      <c r="G45" s="364"/>
      <c r="H45" s="364"/>
      <c r="I45" s="364"/>
      <c r="J45" s="364"/>
      <c r="K45" s="364"/>
      <c r="L45" s="364"/>
      <c r="M45" s="364"/>
      <c r="N45" s="364"/>
      <c r="O45" s="364"/>
      <c r="P45" s="364"/>
      <c r="Q45" s="364"/>
      <c r="R45" s="364"/>
      <c r="S45" s="364"/>
      <c r="T45" s="364"/>
      <c r="U45" s="17"/>
    </row>
    <row r="46" spans="1:21">
      <c r="A46" s="1">
        <f t="shared" si="4"/>
        <v>2000</v>
      </c>
      <c r="B46" s="364"/>
      <c r="C46" s="364">
        <v>1.0089999999999999</v>
      </c>
      <c r="D46" s="364">
        <v>1.0069999999999999</v>
      </c>
      <c r="E46" s="364">
        <v>1.006</v>
      </c>
      <c r="F46" s="364"/>
      <c r="G46" s="364"/>
      <c r="H46" s="364"/>
      <c r="I46" s="364"/>
      <c r="J46" s="364"/>
      <c r="K46" s="364"/>
      <c r="L46" s="364"/>
      <c r="M46" s="364"/>
      <c r="N46" s="364"/>
      <c r="O46" s="364"/>
      <c r="P46" s="364"/>
      <c r="Q46" s="364"/>
      <c r="R46" s="364"/>
      <c r="S46" s="364"/>
      <c r="T46" s="364"/>
      <c r="U46" s="17"/>
    </row>
    <row r="47" spans="1:21">
      <c r="A47" s="1">
        <f t="shared" si="4"/>
        <v>2001</v>
      </c>
      <c r="B47" s="364">
        <v>1.0109999999999999</v>
      </c>
      <c r="C47" s="364">
        <v>1.0109999999999999</v>
      </c>
      <c r="D47" s="364">
        <v>1.01</v>
      </c>
      <c r="E47" s="364"/>
      <c r="F47" s="364"/>
      <c r="G47" s="364"/>
      <c r="H47" s="364"/>
      <c r="I47" s="364"/>
      <c r="J47" s="364"/>
      <c r="K47" s="364"/>
      <c r="L47" s="364"/>
      <c r="M47" s="364"/>
      <c r="N47" s="364"/>
      <c r="O47" s="364"/>
      <c r="P47" s="364"/>
      <c r="Q47" s="364"/>
      <c r="R47" s="364"/>
      <c r="S47" s="364"/>
      <c r="T47" s="364"/>
      <c r="U47" s="17"/>
    </row>
    <row r="48" spans="1:21">
      <c r="A48" s="1">
        <f t="shared" si="4"/>
        <v>2002</v>
      </c>
      <c r="B48" s="364">
        <v>1.01</v>
      </c>
      <c r="C48" s="364">
        <v>1.0089999999999999</v>
      </c>
      <c r="D48" s="364"/>
      <c r="E48" s="364"/>
      <c r="F48" s="364"/>
      <c r="G48" s="364"/>
      <c r="H48" s="364"/>
      <c r="I48" s="364"/>
      <c r="J48" s="364"/>
      <c r="K48" s="364"/>
      <c r="L48" s="364"/>
      <c r="M48" s="364"/>
      <c r="N48" s="364"/>
      <c r="O48" s="364"/>
      <c r="P48" s="364"/>
      <c r="Q48" s="364"/>
      <c r="R48" s="364"/>
      <c r="S48" s="364"/>
      <c r="T48" s="364"/>
      <c r="U48" s="17"/>
    </row>
    <row r="49" spans="1:21">
      <c r="A49" s="1">
        <f t="shared" si="4"/>
        <v>2003</v>
      </c>
      <c r="B49" s="364">
        <v>1.012</v>
      </c>
      <c r="C49" s="364"/>
      <c r="D49" s="364"/>
      <c r="E49" s="364"/>
      <c r="F49" s="364"/>
      <c r="G49" s="364"/>
      <c r="H49" s="364"/>
      <c r="I49" s="364"/>
      <c r="J49" s="364"/>
      <c r="K49" s="364"/>
      <c r="L49" s="364"/>
      <c r="M49" s="364"/>
      <c r="N49" s="364"/>
      <c r="O49" s="364"/>
      <c r="P49" s="364"/>
      <c r="Q49" s="364"/>
      <c r="R49" s="364"/>
      <c r="S49" s="364"/>
      <c r="T49" s="364"/>
      <c r="U49" s="17"/>
    </row>
    <row r="50" spans="1:21">
      <c r="A50" s="22"/>
      <c r="B50" s="16"/>
      <c r="C50" s="16"/>
      <c r="D50" s="16"/>
      <c r="E50" s="16"/>
      <c r="F50" s="16"/>
      <c r="G50" s="16"/>
      <c r="H50" s="16"/>
      <c r="I50" s="16"/>
      <c r="J50" s="16"/>
      <c r="K50" s="16"/>
      <c r="L50" s="16"/>
      <c r="M50" s="16"/>
      <c r="N50" s="16"/>
      <c r="O50" s="16"/>
      <c r="P50" s="16"/>
      <c r="Q50" s="16"/>
      <c r="R50" s="16"/>
      <c r="S50" s="16"/>
      <c r="T50" s="16"/>
      <c r="U50" s="16"/>
    </row>
    <row r="51" spans="1:21">
      <c r="A51" s="1" t="s">
        <v>36</v>
      </c>
      <c r="B51" s="16">
        <f>AVERAGE(B47:B49)</f>
        <v>1.0109999999999999</v>
      </c>
      <c r="C51" s="16">
        <f>AVERAGE(C46:C48)</f>
        <v>1.0096666666666665</v>
      </c>
      <c r="D51" s="16">
        <f>AVERAGE(D45:D47)</f>
        <v>1.0090000000000001</v>
      </c>
      <c r="E51" s="16">
        <f>AVERAGE(E44:E46)</f>
        <v>1.008</v>
      </c>
      <c r="F51" s="16">
        <f>AVERAGE(F43:F45)</f>
        <v>1.008</v>
      </c>
      <c r="G51" s="16">
        <f>AVERAGE(G42:G44)</f>
        <v>1.0086666666666666</v>
      </c>
      <c r="H51" s="16">
        <f>AVERAGE(H41:H43)</f>
        <v>1.0076666666666665</v>
      </c>
      <c r="I51" s="16">
        <f>AVERAGE(I40:I42)</f>
        <v>1.0073333333333332</v>
      </c>
      <c r="J51" s="16">
        <f>AVERAGE(J39:J41)</f>
        <v>1.0056666666666665</v>
      </c>
      <c r="K51" s="16">
        <f>AVERAGE(K38:K40)</f>
        <v>1.006</v>
      </c>
      <c r="L51" s="16">
        <f>AVERAGE(L37:L39)</f>
        <v>1.0046666666666666</v>
      </c>
      <c r="M51" s="16">
        <f>AVERAGE(M36:M38)</f>
        <v>1.0030000000000001</v>
      </c>
      <c r="N51" s="16">
        <f>AVERAGE(N35:N37)</f>
        <v>1.0033333333333332</v>
      </c>
      <c r="O51" s="16">
        <f>AVERAGE(O34:O36)</f>
        <v>1.0029999999999999</v>
      </c>
      <c r="P51" s="16">
        <f>AVERAGE(P33:P35)</f>
        <v>1.0039999999999998</v>
      </c>
      <c r="Q51" s="16">
        <f>AVERAGE(Q32:Q34)</f>
        <v>1.0026666666666666</v>
      </c>
      <c r="R51" s="16">
        <f>AVERAGE(R31:R33)</f>
        <v>1.0026666666666666</v>
      </c>
      <c r="S51" s="16">
        <f>AVERAGE(S30:S32)</f>
        <v>1.0026666666666666</v>
      </c>
      <c r="T51" s="16">
        <f>AVERAGE(T29:T31)</f>
        <v>1.0023333333333333</v>
      </c>
      <c r="U51" s="16"/>
    </row>
    <row r="52" spans="1:21">
      <c r="A52" s="1" t="s">
        <v>21</v>
      </c>
      <c r="B52" s="16">
        <f t="shared" ref="B52:Q52" si="5">B51*C52</f>
        <v>1.1965081123193038</v>
      </c>
      <c r="C52" s="16">
        <f t="shared" si="5"/>
        <v>1.1834897253405579</v>
      </c>
      <c r="D52" s="16">
        <f t="shared" si="5"/>
        <v>1.1721588563954024</v>
      </c>
      <c r="E52" s="16">
        <f t="shared" si="5"/>
        <v>1.1617035246733423</v>
      </c>
      <c r="F52" s="16">
        <f t="shared" si="5"/>
        <v>1.1524836554299029</v>
      </c>
      <c r="G52" s="16">
        <f t="shared" si="5"/>
        <v>1.1433369597518879</v>
      </c>
      <c r="H52" s="16">
        <f t="shared" si="5"/>
        <v>1.1335131788683621</v>
      </c>
      <c r="I52" s="16">
        <f t="shared" si="5"/>
        <v>1.1248890296411138</v>
      </c>
      <c r="J52" s="16">
        <f t="shared" si="5"/>
        <v>1.1166998970626545</v>
      </c>
      <c r="K52" s="16">
        <f t="shared" si="5"/>
        <v>1.1104075874007173</v>
      </c>
      <c r="L52" s="16">
        <f t="shared" si="5"/>
        <v>1.1037848781319257</v>
      </c>
      <c r="M52" s="16">
        <f t="shared" si="5"/>
        <v>1.098657808359581</v>
      </c>
      <c r="N52" s="16">
        <f t="shared" si="5"/>
        <v>1.0953716932797417</v>
      </c>
      <c r="O52" s="16">
        <f t="shared" si="5"/>
        <v>1.0917325846641945</v>
      </c>
      <c r="P52" s="16">
        <f t="shared" si="5"/>
        <v>1.08846718311485</v>
      </c>
      <c r="Q52" s="16">
        <f t="shared" si="5"/>
        <v>1.0841306604729584</v>
      </c>
      <c r="R52" s="16">
        <f t="shared" ref="R52" si="6">R51*S52</f>
        <v>1.0812473342482962</v>
      </c>
      <c r="S52" s="16">
        <f t="shared" ref="S52" si="7">S51*T52</f>
        <v>1.0783716764444444</v>
      </c>
      <c r="T52" s="16">
        <f t="shared" ref="T52" si="8">T51*U52</f>
        <v>1.0755036666666666</v>
      </c>
      <c r="U52" s="21">
        <v>1.073</v>
      </c>
    </row>
    <row r="53" spans="1:21">
      <c r="A53" s="22"/>
      <c r="B53" s="16"/>
      <c r="C53" s="16"/>
      <c r="D53" s="16"/>
      <c r="E53" s="16"/>
      <c r="F53" s="16"/>
      <c r="G53" s="16"/>
      <c r="H53" s="16"/>
      <c r="I53" s="16"/>
      <c r="J53" s="16"/>
      <c r="K53" s="16"/>
      <c r="L53" s="16"/>
      <c r="M53" s="16"/>
      <c r="N53" s="16"/>
      <c r="O53" s="16"/>
      <c r="P53" s="16"/>
      <c r="Q53" s="16"/>
      <c r="R53" s="16"/>
      <c r="S53" s="16"/>
      <c r="T53" s="16"/>
      <c r="U53" s="16"/>
    </row>
    <row r="54" spans="1:21">
      <c r="A54" s="22"/>
      <c r="B54" s="16"/>
      <c r="C54" s="17"/>
      <c r="D54" s="17"/>
      <c r="E54" s="17"/>
      <c r="F54" s="17"/>
      <c r="G54" s="17"/>
      <c r="H54" s="17"/>
      <c r="I54" s="17"/>
      <c r="J54" s="17"/>
      <c r="K54" s="17"/>
      <c r="L54" s="17"/>
      <c r="M54" s="17"/>
      <c r="N54" s="17"/>
      <c r="O54" s="17"/>
      <c r="P54" s="16"/>
      <c r="Q54" s="16"/>
      <c r="R54" s="16"/>
      <c r="S54" s="16"/>
      <c r="T54" s="16"/>
      <c r="U54" s="16"/>
    </row>
    <row r="55" spans="1:21" ht="12.75" customHeight="1">
      <c r="A55" s="24" t="s">
        <v>39</v>
      </c>
      <c r="B55" s="309" t="s">
        <v>513</v>
      </c>
      <c r="C55" s="309"/>
      <c r="D55" s="309"/>
      <c r="E55" s="309"/>
      <c r="F55" s="309"/>
      <c r="G55" s="309"/>
      <c r="H55" s="309"/>
      <c r="I55" s="309"/>
      <c r="J55" s="309"/>
      <c r="K55" s="309"/>
      <c r="L55" s="309"/>
      <c r="M55" s="309"/>
      <c r="N55" s="309"/>
      <c r="O55" s="309"/>
      <c r="P55" s="309"/>
      <c r="Q55" s="309"/>
      <c r="R55" s="230"/>
      <c r="S55" s="463"/>
      <c r="T55" s="279"/>
      <c r="U55" s="167"/>
    </row>
    <row r="56" spans="1:21" ht="12.75" customHeight="1">
      <c r="A56" s="24"/>
      <c r="B56" s="309" t="s">
        <v>464</v>
      </c>
      <c r="C56" s="312"/>
      <c r="D56" s="306"/>
      <c r="E56" s="306"/>
      <c r="F56" s="306"/>
      <c r="G56" s="306"/>
      <c r="H56" s="306"/>
      <c r="I56" s="306"/>
      <c r="J56" s="306"/>
      <c r="K56" s="306"/>
      <c r="L56" s="306"/>
      <c r="M56" s="306"/>
      <c r="N56" s="306"/>
      <c r="O56" s="306"/>
      <c r="P56" s="306"/>
      <c r="Q56" s="306"/>
      <c r="R56" s="232"/>
      <c r="S56" s="306"/>
      <c r="T56" s="283"/>
      <c r="U56" s="168"/>
    </row>
  </sheetData>
  <pageMargins left="0.7" right="0.7" top="0.75" bottom="0.75" header="0.3" footer="0.3"/>
  <pageSetup scale="71" orientation="landscape" blackAndWhite="1" horizontalDpi="1200" verticalDpi="1200" r:id="rId1"/>
  <headerFooter scaleWithDoc="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31</vt:i4>
      </vt:variant>
      <vt:variant>
        <vt:lpstr>Named Ranges</vt:lpstr>
      </vt:variant>
      <vt:variant>
        <vt:i4>22</vt:i4>
      </vt:variant>
    </vt:vector>
  </HeadingPairs>
  <TitlesOfParts>
    <vt:vector size="53" baseType="lpstr">
      <vt:lpstr>Exhibit 1</vt:lpstr>
      <vt:lpstr>Exhibit 2.1.1</vt:lpstr>
      <vt:lpstr>Exhibit 2.1.2</vt:lpstr>
      <vt:lpstr>Exhibit 2.2.1</vt:lpstr>
      <vt:lpstr>Exhibit 2.2.2</vt:lpstr>
      <vt:lpstr>Exhibit 2.3.1</vt:lpstr>
      <vt:lpstr>Exhibit 2.3.2</vt:lpstr>
      <vt:lpstr>Exhibit 2.4.1</vt:lpstr>
      <vt:lpstr>Exhibit 2.4.2</vt:lpstr>
      <vt:lpstr>Exhibit 2.5.1</vt:lpstr>
      <vt:lpstr>Exhibit 2.5.2</vt:lpstr>
      <vt:lpstr>Exhibits 2.5.3 - 2.5.8</vt:lpstr>
      <vt:lpstr>Exhibits 2.5.9 - 2.5.12</vt:lpstr>
      <vt:lpstr>Exhibit 2.6.1</vt:lpstr>
      <vt:lpstr>Exhibit 2.6.2</vt:lpstr>
      <vt:lpstr>Exhibits 2.6.3 - 2.6.8</vt:lpstr>
      <vt:lpstr>Exhibit 3.1</vt:lpstr>
      <vt:lpstr>Exhibit 3.2</vt:lpstr>
      <vt:lpstr>Exhibit 4.1</vt:lpstr>
      <vt:lpstr>Exhibit 4.2</vt:lpstr>
      <vt:lpstr>Exhibit 4.3</vt:lpstr>
      <vt:lpstr>Exhibit 4.4</vt:lpstr>
      <vt:lpstr>Exhibit 5.1</vt:lpstr>
      <vt:lpstr>Exhibit 5.2</vt:lpstr>
      <vt:lpstr>Exhibit 6.1</vt:lpstr>
      <vt:lpstr>Exhibit 6.2</vt:lpstr>
      <vt:lpstr>Exhibit 6.3</vt:lpstr>
      <vt:lpstr>Exhibit 6.4</vt:lpstr>
      <vt:lpstr>Exhibit 7.1</vt:lpstr>
      <vt:lpstr>Exhibit 7.3</vt:lpstr>
      <vt:lpstr>Exhibit 8</vt:lpstr>
      <vt:lpstr>'Exhibit 1'!Print_Area</vt:lpstr>
      <vt:lpstr>'Exhibit 2.3.2'!Print_Area</vt:lpstr>
      <vt:lpstr>'Exhibit 2.4.1'!Print_Area</vt:lpstr>
      <vt:lpstr>'Exhibit 2.5.1'!Print_Area</vt:lpstr>
      <vt:lpstr>'Exhibit 2.5.2'!Print_Area</vt:lpstr>
      <vt:lpstr>'Exhibit 2.6.1'!Print_Area</vt:lpstr>
      <vt:lpstr>'Exhibit 3.1'!Print_Area</vt:lpstr>
      <vt:lpstr>'Exhibit 3.2'!Print_Area</vt:lpstr>
      <vt:lpstr>'Exhibit 4.1'!Print_Area</vt:lpstr>
      <vt:lpstr>'Exhibit 4.2'!Print_Area</vt:lpstr>
      <vt:lpstr>'Exhibit 4.3'!Print_Area</vt:lpstr>
      <vt:lpstr>'Exhibit 4.4'!Print_Area</vt:lpstr>
      <vt:lpstr>'Exhibit 5.1'!Print_Area</vt:lpstr>
      <vt:lpstr>'Exhibit 5.2'!Print_Area</vt:lpstr>
      <vt:lpstr>'Exhibit 6.1'!Print_Area</vt:lpstr>
      <vt:lpstr>'Exhibit 6.4'!Print_Area</vt:lpstr>
      <vt:lpstr>'Exhibit 7.1'!Print_Area</vt:lpstr>
      <vt:lpstr>'Exhibit 7.3'!Print_Area</vt:lpstr>
      <vt:lpstr>'Exhibit 8'!Print_Area</vt:lpstr>
      <vt:lpstr>'Exhibits 2.5.3 - 2.5.8'!Print_Area</vt:lpstr>
      <vt:lpstr>'Exhibits 2.5.9 - 2.5.12'!Print_Area</vt:lpstr>
      <vt:lpstr>'Exhibits 2.6.3 - 2.6.8'!Print_Area</vt:lpstr>
    </vt:vector>
  </TitlesOfParts>
  <Company>WCIRB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M. Wong</dc:creator>
  <cp:lastModifiedBy>Tony Milano</cp:lastModifiedBy>
  <cp:lastPrinted>2021-05-03T18:19:28Z</cp:lastPrinted>
  <dcterms:created xsi:type="dcterms:W3CDTF">2016-01-21T17:50:16Z</dcterms:created>
  <dcterms:modified xsi:type="dcterms:W3CDTF">2021-05-03T19:04:27Z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9f8a7aa-03d8-4d7e-81ce-cbbd96e8ad1d_Enabled">
    <vt:lpwstr>true</vt:lpwstr>
  </property>
  <property fmtid="{D5CDD505-2E9C-101B-9397-08002B2CF9AE}" pid="3" name="MSIP_Label_39f8a7aa-03d8-4d7e-81ce-cbbd96e8ad1d_SetDate">
    <vt:lpwstr>2021-04-28T19:20:51Z</vt:lpwstr>
  </property>
  <property fmtid="{D5CDD505-2E9C-101B-9397-08002B2CF9AE}" pid="4" name="MSIP_Label_39f8a7aa-03d8-4d7e-81ce-cbbd96e8ad1d_Method">
    <vt:lpwstr>Standard</vt:lpwstr>
  </property>
  <property fmtid="{D5CDD505-2E9C-101B-9397-08002B2CF9AE}" pid="5" name="MSIP_Label_39f8a7aa-03d8-4d7e-81ce-cbbd96e8ad1d_Name">
    <vt:lpwstr>General</vt:lpwstr>
  </property>
  <property fmtid="{D5CDD505-2E9C-101B-9397-08002B2CF9AE}" pid="6" name="MSIP_Label_39f8a7aa-03d8-4d7e-81ce-cbbd96e8ad1d_SiteId">
    <vt:lpwstr>ee890d36-04de-4fa7-b4c3-bda5c1b65710</vt:lpwstr>
  </property>
  <property fmtid="{D5CDD505-2E9C-101B-9397-08002B2CF9AE}" pid="7" name="MSIP_Label_39f8a7aa-03d8-4d7e-81ce-cbbd96e8ad1d_ActionId">
    <vt:lpwstr>e29594b4-0786-4162-ab57-3f524368d2a1</vt:lpwstr>
  </property>
  <property fmtid="{D5CDD505-2E9C-101B-9397-08002B2CF9AE}" pid="8" name="MSIP_Label_39f8a7aa-03d8-4d7e-81ce-cbbd96e8ad1d_ContentBits">
    <vt:lpwstr>0</vt:lpwstr>
  </property>
</Properties>
</file>